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7770" activeTab="4"/>
  </bookViews>
  <sheets>
    <sheet name="State 2018" sheetId="1" r:id="rId1"/>
    <sheet name="State 2019" sheetId="2" r:id="rId2"/>
    <sheet name="State 2020" sheetId="3" r:id="rId3"/>
    <sheet name="State 2021" sheetId="4" r:id="rId4"/>
    <sheet name="State 2022" sheetId="5" r:id="rId5"/>
    <sheet name="Fed Pre 2018" sheetId="6" r:id="rId6"/>
    <sheet name="Fed 2018+" sheetId="7" r:id="rId7"/>
  </sheets>
  <definedNames/>
  <calcPr fullCalcOnLoad="1"/>
</workbook>
</file>

<file path=xl/sharedStrings.xml><?xml version="1.0" encoding="utf-8"?>
<sst xmlns="http://schemas.openxmlformats.org/spreadsheetml/2006/main" count="551" uniqueCount="68">
  <si>
    <t>(print in Landscape)</t>
  </si>
  <si>
    <t>fill in shaded cells - others are automatic computations</t>
  </si>
  <si>
    <t>Estate at death (combined if couple)</t>
  </si>
  <si>
    <t>Amount shielded at 1st death in CT bypass tr</t>
  </si>
  <si>
    <t>Taxable gifts includible in tax base post 1/1/05</t>
  </si>
  <si>
    <t>Total</t>
  </si>
  <si>
    <t>TAX DUE:</t>
  </si>
  <si>
    <t>THEN</t>
  </si>
  <si>
    <t xml:space="preserve">total </t>
  </si>
  <si>
    <t>y?</t>
  </si>
  <si>
    <t>Tax is</t>
  </si>
  <si>
    <t xml:space="preserve"> + </t>
  </si>
  <si>
    <t xml:space="preserve"> % x </t>
  </si>
  <si>
    <t>excess</t>
  </si>
  <si>
    <t xml:space="preserve"> = </t>
  </si>
  <si>
    <t>tax</t>
  </si>
  <si>
    <t>Is estate</t>
  </si>
  <si>
    <t xml:space="preserve"> x </t>
  </si>
  <si>
    <t>more than</t>
  </si>
  <si>
    <t>?</t>
  </si>
  <si>
    <t>TOTAL TAX DUE:</t>
  </si>
  <si>
    <t>Estate at death (if couple, combined gross estate)</t>
  </si>
  <si>
    <t>Amount shielded at first death in Bypass Trust</t>
  </si>
  <si>
    <t>Insurance, etc. removed from estate by life insurance trust</t>
  </si>
  <si>
    <t>Taxable gifts includible in tax base</t>
  </si>
  <si>
    <t>Gross taxable estate</t>
  </si>
  <si>
    <t>Deduction for state death taxes paid</t>
  </si>
  <si>
    <t xml:space="preserve"> -</t>
  </si>
  <si>
    <t>Federal taxable estate</t>
  </si>
  <si>
    <t>Tenative tax due:</t>
  </si>
  <si>
    <t>Less:  credit</t>
  </si>
  <si>
    <t>Federal estate tax due:</t>
  </si>
  <si>
    <t>Plus CT estate tax due</t>
  </si>
  <si>
    <t>+</t>
  </si>
  <si>
    <t>Total tax due</t>
  </si>
  <si>
    <t>y/n</t>
  </si>
  <si>
    <t xml:space="preserve">tentative </t>
  </si>
  <si>
    <t>is estate</t>
  </si>
  <si>
    <t>not more than</t>
  </si>
  <si>
    <t>Tentative Tax</t>
  </si>
  <si>
    <t>due</t>
  </si>
  <si>
    <t>Amounts removed from estate by funding ins. trust</t>
  </si>
  <si>
    <t>Deceased spouse exemption equivalent (if it was elected)</t>
  </si>
  <si>
    <t>exemption equivalent</t>
  </si>
  <si>
    <t>fill in shaded cells only</t>
  </si>
  <si>
    <t>(or passing to charity)</t>
  </si>
  <si>
    <t>(i.e., 40% x 5,450,000)</t>
  </si>
  <si>
    <t>Quick computation of Connecticut Estate Tax for those dying on/after 1/1/2018</t>
  </si>
  <si>
    <t>less than $2.6million?</t>
  </si>
  <si>
    <t>less than $3.6million?</t>
  </si>
  <si>
    <t>Quick computation of Connecticut Estate Tax for those dying on/after 1/1/2019</t>
  </si>
  <si>
    <t>Quick computation of Connecticut Estate Tax for those dying on/after 1/1/2020</t>
  </si>
  <si>
    <t>less than $5.1 million?</t>
  </si>
  <si>
    <t>Quick computation of Connecticut Estate Tax for those dying on/after 1/1/2021</t>
  </si>
  <si>
    <t>less than $7.1 million?</t>
  </si>
  <si>
    <t>Quick computation of Connecticut Estate Tax for those dying on/after 1/1/2022</t>
  </si>
  <si>
    <t>less than $9.1 million?</t>
  </si>
  <si>
    <t>Quick computation of Federal Estate Tax for a CT decedent dying 1/1/16-12/31/17</t>
  </si>
  <si>
    <t>(i.e., 40% x 11,180,000</t>
  </si>
  <si>
    <t>Year of Death:</t>
  </si>
  <si>
    <t>Quick computation of Federal Estate Tax for a CT decedent dying 1/1/18-12/31/25</t>
  </si>
  <si>
    <t>Plus federal tax due</t>
  </si>
  <si>
    <t>Total:</t>
  </si>
  <si>
    <t>Plus federal tax:</t>
  </si>
  <si>
    <t>Plus Federal tax</t>
  </si>
  <si>
    <t>Plus federal tax due:</t>
  </si>
  <si>
    <t>Plus federal</t>
  </si>
  <si>
    <t>`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</si>
</sst>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d\,\ yyyy"/>
    <numFmt numFmtId="171" formatCode="&quot;$&quot;#,##0.00"/>
    <numFmt numFmtId="172" formatCode="0.000%"/>
    <numFmt numFmtId="173" formatCode="0.0%"/>
    <numFmt numFmtId="174" formatCode="&quot;$&quot;#,##0"/>
    <numFmt numFmtId="175" formatCode="&quot;$&quot;#,##0.0"/>
    <numFmt numFmtId="176" formatCode="&quot;$&quot;#,##0.0_);[Red]\(&quot;$&quot;#,##0.0\)"/>
  </numFmts>
  <fonts count="22">
    <font>
      <sz val="10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42" fontId="0" fillId="0" borderId="0" xfId="44" applyNumberFormat="1" applyFill="1" applyAlignment="1">
      <alignment/>
    </xf>
    <xf numFmtId="6" fontId="0" fillId="0" borderId="0" xfId="44" applyNumberFormat="1" applyFill="1" applyAlignment="1">
      <alignment/>
    </xf>
    <xf numFmtId="5" fontId="0" fillId="0" borderId="0" xfId="44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174" fontId="0" fillId="0" borderId="22" xfId="0" applyNumberFormat="1" applyBorder="1" applyAlignment="1">
      <alignment/>
    </xf>
    <xf numFmtId="173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174" fontId="0" fillId="0" borderId="24" xfId="0" applyNumberFormat="1" applyBorder="1" applyAlignment="1">
      <alignment/>
    </xf>
    <xf numFmtId="6" fontId="0" fillId="0" borderId="22" xfId="0" applyNumberFormat="1" applyBorder="1" applyAlignment="1">
      <alignment/>
    </xf>
    <xf numFmtId="6" fontId="0" fillId="0" borderId="22" xfId="0" applyNumberFormat="1" applyBorder="1" applyAlignment="1">
      <alignment horizontal="left"/>
    </xf>
    <xf numFmtId="0" fontId="0" fillId="0" borderId="22" xfId="0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4" fontId="3" fillId="0" borderId="0" xfId="44" applyNumberFormat="1" applyFont="1" applyFill="1" applyAlignment="1">
      <alignment/>
    </xf>
    <xf numFmtId="174" fontId="3" fillId="0" borderId="0" xfId="44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174" fontId="3" fillId="0" borderId="18" xfId="44" applyNumberFormat="1" applyFont="1" applyFill="1" applyBorder="1" applyAlignment="1">
      <alignment/>
    </xf>
    <xf numFmtId="174" fontId="3" fillId="0" borderId="0" xfId="0" applyNumberFormat="1" applyFont="1" applyAlignment="1">
      <alignment/>
    </xf>
    <xf numFmtId="6" fontId="3" fillId="0" borderId="0" xfId="44" applyNumberFormat="1" applyFont="1" applyFill="1" applyAlignment="1">
      <alignment/>
    </xf>
    <xf numFmtId="42" fontId="3" fillId="0" borderId="0" xfId="44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6" fontId="3" fillId="0" borderId="22" xfId="0" applyNumberFormat="1" applyFont="1" applyBorder="1" applyAlignment="1">
      <alignment/>
    </xf>
    <xf numFmtId="6" fontId="3" fillId="0" borderId="22" xfId="0" applyNumberFormat="1" applyFont="1" applyBorder="1" applyAlignment="1">
      <alignment horizontal="left"/>
    </xf>
    <xf numFmtId="0" fontId="3" fillId="0" borderId="23" xfId="0" applyFont="1" applyFill="1" applyBorder="1" applyAlignment="1">
      <alignment/>
    </xf>
    <xf numFmtId="174" fontId="3" fillId="0" borderId="22" xfId="0" applyNumberFormat="1" applyFont="1" applyBorder="1" applyAlignment="1">
      <alignment/>
    </xf>
    <xf numFmtId="173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174" fontId="3" fillId="0" borderId="24" xfId="0" applyNumberFormat="1" applyFont="1" applyBorder="1" applyAlignment="1">
      <alignment/>
    </xf>
    <xf numFmtId="0" fontId="3" fillId="0" borderId="22" xfId="0" applyFont="1" applyBorder="1" applyAlignment="1">
      <alignment horizontal="right"/>
    </xf>
    <xf numFmtId="5" fontId="0" fillId="24" borderId="18" xfId="44" applyNumberFormat="1" applyFill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174" fontId="3" fillId="24" borderId="0" xfId="44" applyNumberFormat="1" applyFont="1" applyFill="1" applyAlignment="1" applyProtection="1">
      <alignment/>
      <protection locked="0"/>
    </xf>
    <xf numFmtId="174" fontId="3" fillId="24" borderId="18" xfId="44" applyNumberFormat="1" applyFont="1" applyFill="1" applyBorder="1" applyAlignment="1" applyProtection="1">
      <alignment/>
      <protection locked="0"/>
    </xf>
    <xf numFmtId="174" fontId="0" fillId="0" borderId="0" xfId="0" applyNumberFormat="1" applyAlignment="1">
      <alignment/>
    </xf>
    <xf numFmtId="5" fontId="0" fillId="0" borderId="0" xfId="0" applyNumberFormat="1" applyAlignment="1">
      <alignment/>
    </xf>
    <xf numFmtId="5" fontId="0" fillId="0" borderId="18" xfId="44" applyNumberFormat="1" applyBorder="1" applyAlignment="1">
      <alignment/>
    </xf>
    <xf numFmtId="174" fontId="3" fillId="24" borderId="0" xfId="44" applyNumberFormat="1" applyFont="1" applyFill="1" applyAlignment="1">
      <alignment/>
    </xf>
    <xf numFmtId="6" fontId="0" fillId="0" borderId="0" xfId="44" applyNumberFormat="1" applyFill="1" applyAlignment="1" applyProtection="1">
      <alignment/>
      <protection locked="0"/>
    </xf>
    <xf numFmtId="6" fontId="0" fillId="0" borderId="0" xfId="44" applyNumberFormat="1" applyFont="1" applyFill="1" applyAlignment="1">
      <alignment/>
    </xf>
    <xf numFmtId="6" fontId="0" fillId="0" borderId="0" xfId="0" applyNumberFormat="1" applyAlignment="1">
      <alignment/>
    </xf>
    <xf numFmtId="6" fontId="0" fillId="0" borderId="18" xfId="44" applyNumberFormat="1" applyFill="1" applyBorder="1" applyAlignment="1" applyProtection="1">
      <alignment/>
      <protection locked="0"/>
    </xf>
    <xf numFmtId="0" fontId="21" fillId="0" borderId="0" xfId="0" applyFont="1" applyAlignment="1">
      <alignment/>
    </xf>
    <xf numFmtId="0" fontId="3" fillId="2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00390625" style="0" customWidth="1"/>
    <col min="2" max="2" width="9.7109375" style="0" customWidth="1"/>
    <col min="3" max="3" width="11.7109375" style="0" bestFit="1" customWidth="1"/>
    <col min="4" max="4" width="13.57421875" style="0" customWidth="1"/>
    <col min="5" max="5" width="12.28125" style="0" bestFit="1" customWidth="1"/>
    <col min="6" max="6" width="2.57421875" style="0" customWidth="1"/>
    <col min="7" max="7" width="3.00390625" style="0" bestFit="1" customWidth="1"/>
    <col min="8" max="8" width="15.7109375" style="0" bestFit="1" customWidth="1"/>
    <col min="9" max="9" width="4.421875" style="0" bestFit="1" customWidth="1"/>
    <col min="10" max="10" width="7.28125" style="0" bestFit="1" customWidth="1"/>
    <col min="11" max="11" width="3.140625" style="0" bestFit="1" customWidth="1"/>
    <col min="12" max="12" width="10.140625" style="0" bestFit="1" customWidth="1"/>
    <col min="13" max="13" width="3.28125" style="0" bestFit="1" customWidth="1"/>
    <col min="14" max="14" width="9.8515625" style="0" bestFit="1" customWidth="1"/>
  </cols>
  <sheetData>
    <row r="1" spans="1:10" ht="12.75">
      <c r="A1" t="s">
        <v>47</v>
      </c>
      <c r="J1" t="s">
        <v>0</v>
      </c>
    </row>
    <row r="2" ht="12.75">
      <c r="B2" s="1" t="s">
        <v>1</v>
      </c>
    </row>
    <row r="3" spans="1:5" ht="12.75">
      <c r="A3" t="s">
        <v>2</v>
      </c>
      <c r="E3" s="68">
        <f>'Fed 2018+'!$E$3</f>
        <v>15000000</v>
      </c>
    </row>
    <row r="4" spans="1:7" ht="12.75">
      <c r="A4" t="s">
        <v>3</v>
      </c>
      <c r="E4" s="68">
        <f>'Fed 2018+'!$E$4</f>
        <v>0</v>
      </c>
      <c r="G4" t="s">
        <v>45</v>
      </c>
    </row>
    <row r="5" spans="1:5" ht="12.75">
      <c r="A5" t="s">
        <v>41</v>
      </c>
      <c r="E5" s="68">
        <f>'Fed 2018+'!$E$5</f>
        <v>0</v>
      </c>
    </row>
    <row r="6" spans="1:5" ht="12.75">
      <c r="A6" t="s">
        <v>4</v>
      </c>
      <c r="E6" s="60">
        <v>0</v>
      </c>
    </row>
    <row r="7" spans="1:5" ht="12.75">
      <c r="A7" t="s">
        <v>5</v>
      </c>
      <c r="E7" s="2">
        <f>E3-E4-E5+E6</f>
        <v>15000000</v>
      </c>
    </row>
    <row r="8" spans="1:14" ht="12.75">
      <c r="A8" t="s">
        <v>6</v>
      </c>
      <c r="D8" s="3"/>
      <c r="E8" s="4">
        <f>IF(N22&gt;0,N22,0)</f>
        <v>1323000</v>
      </c>
      <c r="G8" s="5"/>
      <c r="H8" s="6"/>
      <c r="I8" s="7"/>
      <c r="J8" s="7"/>
      <c r="K8" s="7"/>
      <c r="L8" s="7"/>
      <c r="M8" s="5"/>
      <c r="N8" s="8"/>
    </row>
    <row r="9" spans="1:14" ht="12.75">
      <c r="A9" t="s">
        <v>61</v>
      </c>
      <c r="D9" s="3"/>
      <c r="E9" s="66">
        <f>'Fed 2018+'!$E$17</f>
        <v>1192200</v>
      </c>
      <c r="G9" s="12"/>
      <c r="H9" s="10"/>
      <c r="I9" s="11"/>
      <c r="J9" s="11"/>
      <c r="K9" s="11"/>
      <c r="L9" s="11"/>
      <c r="M9" s="12"/>
      <c r="N9" s="13"/>
    </row>
    <row r="10" spans="1:14" ht="12.75">
      <c r="A10" t="s">
        <v>62</v>
      </c>
      <c r="D10" s="3"/>
      <c r="E10" s="65">
        <f>SUM(E8:E9)</f>
        <v>2515200</v>
      </c>
      <c r="G10" s="9"/>
      <c r="H10" s="10" t="s">
        <v>7</v>
      </c>
      <c r="I10" s="11"/>
      <c r="J10" s="11"/>
      <c r="K10" s="11"/>
      <c r="L10" s="11"/>
      <c r="M10" s="12"/>
      <c r="N10" s="13" t="s">
        <v>8</v>
      </c>
    </row>
    <row r="11" spans="7:14" ht="12.75">
      <c r="G11" s="9" t="s">
        <v>9</v>
      </c>
      <c r="H11" s="14" t="s">
        <v>10</v>
      </c>
      <c r="I11" s="15" t="s">
        <v>11</v>
      </c>
      <c r="J11" s="15" t="s">
        <v>12</v>
      </c>
      <c r="K11" s="15"/>
      <c r="L11" s="15" t="s">
        <v>13</v>
      </c>
      <c r="M11" s="16" t="s">
        <v>14</v>
      </c>
      <c r="N11" s="17" t="s">
        <v>15</v>
      </c>
    </row>
    <row r="12" spans="1:14" ht="12.75">
      <c r="A12" s="18" t="s">
        <v>16</v>
      </c>
      <c r="B12" s="19" t="s">
        <v>48</v>
      </c>
      <c r="C12" s="19"/>
      <c r="D12" s="19"/>
      <c r="E12" s="19"/>
      <c r="F12" s="19"/>
      <c r="G12" s="20" t="str">
        <f>IF(E7&lt;2000000.01,"Y"," ")</f>
        <v> </v>
      </c>
      <c r="H12" s="21">
        <v>0</v>
      </c>
      <c r="I12" s="19"/>
      <c r="J12" s="22">
        <v>0</v>
      </c>
      <c r="K12" s="22" t="s">
        <v>17</v>
      </c>
      <c r="M12" s="23"/>
      <c r="N12" s="24">
        <f aca="true" t="shared" si="0" ref="N12:N21">IF(G12="Y",(H12+(J12*L12)),0)</f>
        <v>0</v>
      </c>
    </row>
    <row r="13" spans="1:14" ht="12.75">
      <c r="A13" s="18" t="s">
        <v>16</v>
      </c>
      <c r="B13" s="19" t="s">
        <v>18</v>
      </c>
      <c r="C13" s="25">
        <v>2600000</v>
      </c>
      <c r="D13" s="19" t="s">
        <v>38</v>
      </c>
      <c r="E13" s="26">
        <v>3600000</v>
      </c>
      <c r="F13" s="25" t="s">
        <v>19</v>
      </c>
      <c r="G13" s="20" t="str">
        <f>IF($E$7&gt;2600000,(IF($E$7&lt;3600000.01,"Y"," "))," ")</f>
        <v> </v>
      </c>
      <c r="H13" s="21">
        <v>0</v>
      </c>
      <c r="I13" s="19" t="s">
        <v>11</v>
      </c>
      <c r="J13" s="22">
        <v>0.072</v>
      </c>
      <c r="K13" s="22" t="s">
        <v>17</v>
      </c>
      <c r="L13" s="21">
        <f aca="true" t="shared" si="1" ref="L13:L21">IF(G13="Y",($E$7-C13),0)</f>
        <v>0</v>
      </c>
      <c r="M13" s="23" t="s">
        <v>14</v>
      </c>
      <c r="N13" s="24">
        <f t="shared" si="0"/>
        <v>0</v>
      </c>
    </row>
    <row r="14" spans="1:14" ht="12.75">
      <c r="A14" s="18" t="s">
        <v>16</v>
      </c>
      <c r="B14" s="19" t="s">
        <v>18</v>
      </c>
      <c r="C14" s="25">
        <v>3600000</v>
      </c>
      <c r="D14" s="19" t="s">
        <v>38</v>
      </c>
      <c r="E14" s="26">
        <v>4100000</v>
      </c>
      <c r="F14" s="25" t="s">
        <v>19</v>
      </c>
      <c r="G14" s="20" t="str">
        <f>IF($E$7&gt;3600000,(IF($E$7&lt;4100000.01,"Y"," "))," ")</f>
        <v> </v>
      </c>
      <c r="H14" s="21">
        <f>J13*(E13-C13)</f>
        <v>72000</v>
      </c>
      <c r="I14" s="19" t="s">
        <v>11</v>
      </c>
      <c r="J14" s="22">
        <v>0.078</v>
      </c>
      <c r="K14" s="22" t="s">
        <v>17</v>
      </c>
      <c r="L14" s="21">
        <f t="shared" si="1"/>
        <v>0</v>
      </c>
      <c r="M14" s="23" t="s">
        <v>14</v>
      </c>
      <c r="N14" s="24">
        <f t="shared" si="0"/>
        <v>0</v>
      </c>
    </row>
    <row r="15" spans="1:14" ht="12.75">
      <c r="A15" s="18" t="s">
        <v>16</v>
      </c>
      <c r="B15" s="19" t="s">
        <v>18</v>
      </c>
      <c r="C15" s="25">
        <v>4100000</v>
      </c>
      <c r="D15" s="19" t="s">
        <v>38</v>
      </c>
      <c r="E15" s="26">
        <v>5100000</v>
      </c>
      <c r="F15" s="25" t="s">
        <v>19</v>
      </c>
      <c r="G15" s="20" t="str">
        <f>IF($E$7&gt;4100000,(IF($E$7&lt;5100000.01,"Y"," "))," ")</f>
        <v> </v>
      </c>
      <c r="H15" s="21">
        <f aca="true" t="shared" si="2" ref="H15:H21">H14+(J14*(E14-C14))</f>
        <v>111000</v>
      </c>
      <c r="I15" s="19" t="s">
        <v>11</v>
      </c>
      <c r="J15" s="22">
        <v>0.084</v>
      </c>
      <c r="K15" s="22" t="s">
        <v>17</v>
      </c>
      <c r="L15" s="21">
        <f t="shared" si="1"/>
        <v>0</v>
      </c>
      <c r="M15" s="23" t="s">
        <v>14</v>
      </c>
      <c r="N15" s="24">
        <f t="shared" si="0"/>
        <v>0</v>
      </c>
    </row>
    <row r="16" spans="1:14" ht="12.75">
      <c r="A16" s="18" t="s">
        <v>16</v>
      </c>
      <c r="B16" s="19" t="s">
        <v>18</v>
      </c>
      <c r="C16" s="25">
        <f aca="true" t="shared" si="3" ref="C16:C21">E15</f>
        <v>5100000</v>
      </c>
      <c r="D16" s="19" t="s">
        <v>38</v>
      </c>
      <c r="E16" s="26">
        <v>6100000</v>
      </c>
      <c r="F16" s="25" t="s">
        <v>19</v>
      </c>
      <c r="G16" s="20" t="str">
        <f>IF($E$7&gt;5100000,(IF($E$7&lt;6100000.01,"Y"," "))," ")</f>
        <v> </v>
      </c>
      <c r="H16" s="21">
        <f t="shared" si="2"/>
        <v>195000</v>
      </c>
      <c r="I16" s="19" t="s">
        <v>11</v>
      </c>
      <c r="J16" s="22">
        <v>0.1</v>
      </c>
      <c r="K16" s="22" t="s">
        <v>17</v>
      </c>
      <c r="L16" s="21">
        <f t="shared" si="1"/>
        <v>0</v>
      </c>
      <c r="M16" s="23" t="s">
        <v>14</v>
      </c>
      <c r="N16" s="24">
        <f t="shared" si="0"/>
        <v>0</v>
      </c>
    </row>
    <row r="17" spans="1:14" ht="12.75">
      <c r="A17" s="18" t="s">
        <v>16</v>
      </c>
      <c r="B17" s="19" t="s">
        <v>18</v>
      </c>
      <c r="C17" s="25">
        <f t="shared" si="3"/>
        <v>6100000</v>
      </c>
      <c r="D17" s="19" t="s">
        <v>38</v>
      </c>
      <c r="E17" s="26">
        <v>7100000</v>
      </c>
      <c r="F17" s="25" t="s">
        <v>19</v>
      </c>
      <c r="G17" s="20" t="str">
        <f>IF($E$7&gt;6100000,(IF($E$7&lt;7100000.01,"Y"," "))," ")</f>
        <v> </v>
      </c>
      <c r="H17" s="21">
        <f t="shared" si="2"/>
        <v>295000</v>
      </c>
      <c r="I17" s="19" t="s">
        <v>11</v>
      </c>
      <c r="J17" s="22">
        <v>0.104</v>
      </c>
      <c r="K17" s="22" t="s">
        <v>17</v>
      </c>
      <c r="L17" s="21">
        <f t="shared" si="1"/>
        <v>0</v>
      </c>
      <c r="M17" s="23" t="s">
        <v>14</v>
      </c>
      <c r="N17" s="24">
        <f t="shared" si="0"/>
        <v>0</v>
      </c>
    </row>
    <row r="18" spans="1:14" ht="12.75">
      <c r="A18" s="18" t="s">
        <v>16</v>
      </c>
      <c r="B18" s="19" t="s">
        <v>18</v>
      </c>
      <c r="C18" s="25">
        <f t="shared" si="3"/>
        <v>7100000</v>
      </c>
      <c r="D18" s="19" t="s">
        <v>38</v>
      </c>
      <c r="E18" s="26">
        <f>E17+1000000</f>
        <v>8100000</v>
      </c>
      <c r="F18" s="25" t="s">
        <v>19</v>
      </c>
      <c r="G18" s="20" t="str">
        <f>IF($E$7&gt;7100000,(IF($E$7&lt;8100000.01,"Y"," "))," ")</f>
        <v> </v>
      </c>
      <c r="H18" s="21">
        <f t="shared" si="2"/>
        <v>399000</v>
      </c>
      <c r="I18" s="19" t="s">
        <v>11</v>
      </c>
      <c r="J18" s="22">
        <v>0.108</v>
      </c>
      <c r="K18" s="22" t="s">
        <v>17</v>
      </c>
      <c r="L18" s="21">
        <f t="shared" si="1"/>
        <v>0</v>
      </c>
      <c r="M18" s="23" t="s">
        <v>14</v>
      </c>
      <c r="N18" s="24">
        <f t="shared" si="0"/>
        <v>0</v>
      </c>
    </row>
    <row r="19" spans="1:14" ht="12.75">
      <c r="A19" s="18" t="s">
        <v>16</v>
      </c>
      <c r="B19" s="19" t="s">
        <v>18</v>
      </c>
      <c r="C19" s="25">
        <f t="shared" si="3"/>
        <v>8100000</v>
      </c>
      <c r="D19" s="19" t="s">
        <v>38</v>
      </c>
      <c r="E19" s="26">
        <f>E18+1000000</f>
        <v>9100000</v>
      </c>
      <c r="F19" s="25" t="s">
        <v>19</v>
      </c>
      <c r="G19" s="20" t="str">
        <f>IF($E$7&gt;8100000,(IF($E$7&lt;9100000.01,"Y"," "))," ")</f>
        <v> </v>
      </c>
      <c r="H19" s="21">
        <f t="shared" si="2"/>
        <v>507000</v>
      </c>
      <c r="I19" s="19" t="s">
        <v>11</v>
      </c>
      <c r="J19" s="22">
        <v>0.112</v>
      </c>
      <c r="K19" s="22" t="s">
        <v>17</v>
      </c>
      <c r="L19" s="21">
        <f t="shared" si="1"/>
        <v>0</v>
      </c>
      <c r="M19" s="23" t="s">
        <v>14</v>
      </c>
      <c r="N19" s="24">
        <f t="shared" si="0"/>
        <v>0</v>
      </c>
    </row>
    <row r="20" spans="1:14" ht="12.75">
      <c r="A20" s="18" t="s">
        <v>16</v>
      </c>
      <c r="B20" s="19" t="s">
        <v>18</v>
      </c>
      <c r="C20" s="25">
        <f t="shared" si="3"/>
        <v>9100000</v>
      </c>
      <c r="D20" s="19" t="s">
        <v>38</v>
      </c>
      <c r="E20" s="26">
        <f>E19+1000000</f>
        <v>10100000</v>
      </c>
      <c r="F20" s="25" t="s">
        <v>19</v>
      </c>
      <c r="G20" s="20" t="str">
        <f>IF($E$7&gt;9100000,(IF($E$7&lt;10100000.01,"Y"," "))," ")</f>
        <v> </v>
      </c>
      <c r="H20" s="21">
        <f t="shared" si="2"/>
        <v>619000</v>
      </c>
      <c r="I20" s="19" t="s">
        <v>11</v>
      </c>
      <c r="J20" s="22">
        <v>0.116</v>
      </c>
      <c r="K20" s="22" t="s">
        <v>17</v>
      </c>
      <c r="L20" s="21">
        <f t="shared" si="1"/>
        <v>0</v>
      </c>
      <c r="M20" s="23" t="s">
        <v>14</v>
      </c>
      <c r="N20" s="24">
        <f t="shared" si="0"/>
        <v>0</v>
      </c>
    </row>
    <row r="21" spans="1:14" ht="12.75">
      <c r="A21" s="18" t="s">
        <v>16</v>
      </c>
      <c r="B21" s="19" t="s">
        <v>18</v>
      </c>
      <c r="C21" s="25">
        <f t="shared" si="3"/>
        <v>10100000</v>
      </c>
      <c r="D21" s="19"/>
      <c r="E21" s="26"/>
      <c r="F21" s="25" t="s">
        <v>19</v>
      </c>
      <c r="G21" s="20" t="str">
        <f>IF($E$7&gt;10100000,"Y"," ")</f>
        <v>Y</v>
      </c>
      <c r="H21" s="21">
        <f t="shared" si="2"/>
        <v>735000</v>
      </c>
      <c r="I21" s="19" t="s">
        <v>11</v>
      </c>
      <c r="J21" s="22">
        <v>0.12</v>
      </c>
      <c r="K21" s="22" t="s">
        <v>17</v>
      </c>
      <c r="L21" s="21">
        <f t="shared" si="1"/>
        <v>4900000</v>
      </c>
      <c r="M21" s="23" t="s">
        <v>14</v>
      </c>
      <c r="N21" s="24">
        <f t="shared" si="0"/>
        <v>1323000</v>
      </c>
    </row>
    <row r="22" spans="1:14" ht="12.75">
      <c r="A22" s="14"/>
      <c r="B22" s="15"/>
      <c r="C22" s="15"/>
      <c r="D22" s="15"/>
      <c r="E22" s="15"/>
      <c r="F22" s="15"/>
      <c r="G22" s="20"/>
      <c r="H22" s="19"/>
      <c r="I22" s="19"/>
      <c r="J22" s="19"/>
      <c r="K22" s="19"/>
      <c r="L22" s="19"/>
      <c r="M22" s="27" t="s">
        <v>20</v>
      </c>
      <c r="N22" s="24">
        <f>SUM(N12:N21)</f>
        <v>1323000</v>
      </c>
    </row>
    <row r="24" ht="12.75">
      <c r="C24" s="64"/>
    </row>
  </sheetData>
  <sheetProtection/>
  <printOptions/>
  <pageMargins left="1.1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E8" sqref="E8"/>
    </sheetView>
  </sheetViews>
  <sheetFormatPr defaultColWidth="9.140625" defaultRowHeight="12.75"/>
  <cols>
    <col min="1" max="1" width="8.00390625" style="0" customWidth="1"/>
    <col min="2" max="2" width="9.7109375" style="0" customWidth="1"/>
    <col min="3" max="3" width="11.7109375" style="0" bestFit="1" customWidth="1"/>
    <col min="4" max="4" width="13.57421875" style="0" customWidth="1"/>
    <col min="5" max="5" width="12.28125" style="0" bestFit="1" customWidth="1"/>
    <col min="6" max="6" width="2.57421875" style="0" customWidth="1"/>
    <col min="7" max="7" width="3.00390625" style="0" bestFit="1" customWidth="1"/>
    <col min="8" max="8" width="15.7109375" style="0" bestFit="1" customWidth="1"/>
    <col min="9" max="9" width="4.421875" style="0" bestFit="1" customWidth="1"/>
    <col min="10" max="10" width="7.28125" style="0" bestFit="1" customWidth="1"/>
    <col min="11" max="11" width="3.140625" style="0" bestFit="1" customWidth="1"/>
    <col min="12" max="12" width="10.140625" style="0" bestFit="1" customWidth="1"/>
    <col min="13" max="13" width="3.28125" style="0" bestFit="1" customWidth="1"/>
    <col min="14" max="14" width="9.8515625" style="0" bestFit="1" customWidth="1"/>
  </cols>
  <sheetData>
    <row r="1" spans="1:10" ht="12.75">
      <c r="A1" t="s">
        <v>50</v>
      </c>
      <c r="J1" t="s">
        <v>0</v>
      </c>
    </row>
    <row r="2" ht="12.75">
      <c r="B2" s="1" t="s">
        <v>1</v>
      </c>
    </row>
    <row r="3" spans="1:5" ht="12.75">
      <c r="A3" t="s">
        <v>2</v>
      </c>
      <c r="E3" s="68">
        <f>'Fed 2018+'!$E$3</f>
        <v>15000000</v>
      </c>
    </row>
    <row r="4" spans="1:7" ht="12.75">
      <c r="A4" t="s">
        <v>3</v>
      </c>
      <c r="E4" s="68">
        <f>'Fed 2018+'!$E$4</f>
        <v>0</v>
      </c>
      <c r="G4" t="s">
        <v>45</v>
      </c>
    </row>
    <row r="5" spans="1:5" ht="12.75">
      <c r="A5" t="s">
        <v>41</v>
      </c>
      <c r="E5" s="68">
        <f>'Fed 2018+'!$E$5</f>
        <v>0</v>
      </c>
    </row>
    <row r="6" spans="1:5" ht="12.75">
      <c r="A6" t="s">
        <v>4</v>
      </c>
      <c r="E6" s="60">
        <v>0</v>
      </c>
    </row>
    <row r="7" spans="1:5" ht="12.75">
      <c r="A7" t="s">
        <v>5</v>
      </c>
      <c r="E7" s="2">
        <f>E3-E4-E5+E6</f>
        <v>15000000</v>
      </c>
    </row>
    <row r="8" spans="1:14" ht="12.75">
      <c r="A8" t="s">
        <v>6</v>
      </c>
      <c r="D8" s="3"/>
      <c r="E8" s="4">
        <f>IF(N21&gt;0,N21,0)</f>
        <v>1251000</v>
      </c>
      <c r="G8" s="5"/>
      <c r="H8" s="6"/>
      <c r="I8" s="7"/>
      <c r="J8" s="7"/>
      <c r="K8" s="7"/>
      <c r="L8" s="7"/>
      <c r="M8" s="5"/>
      <c r="N8" s="8"/>
    </row>
    <row r="9" spans="1:14" ht="12.75">
      <c r="A9" t="s">
        <v>63</v>
      </c>
      <c r="D9" s="3"/>
      <c r="E9" s="33">
        <f>'Fed 2018+'!$E$17</f>
        <v>1192200</v>
      </c>
      <c r="G9" s="12"/>
      <c r="H9" s="10"/>
      <c r="I9" s="11"/>
      <c r="J9" s="11"/>
      <c r="K9" s="11"/>
      <c r="L9" s="11"/>
      <c r="M9" s="12"/>
      <c r="N9" s="13"/>
    </row>
    <row r="10" spans="4:14" ht="12.75">
      <c r="D10" s="69" t="s">
        <v>62</v>
      </c>
      <c r="E10" s="65">
        <f>SUM(E8:E9)</f>
        <v>2443200</v>
      </c>
      <c r="G10" s="9"/>
      <c r="H10" s="10" t="s">
        <v>7</v>
      </c>
      <c r="I10" s="11"/>
      <c r="J10" s="11"/>
      <c r="K10" s="11"/>
      <c r="L10" s="11"/>
      <c r="M10" s="12"/>
      <c r="N10" s="13" t="s">
        <v>8</v>
      </c>
    </row>
    <row r="11" spans="7:14" ht="12.75">
      <c r="G11" s="9" t="s">
        <v>9</v>
      </c>
      <c r="H11" s="14" t="s">
        <v>10</v>
      </c>
      <c r="I11" s="15" t="s">
        <v>11</v>
      </c>
      <c r="J11" s="15" t="s">
        <v>12</v>
      </c>
      <c r="K11" s="15"/>
      <c r="L11" s="15" t="s">
        <v>13</v>
      </c>
      <c r="M11" s="16" t="s">
        <v>14</v>
      </c>
      <c r="N11" s="17" t="s">
        <v>15</v>
      </c>
    </row>
    <row r="12" spans="1:14" ht="12.75">
      <c r="A12" s="18" t="s">
        <v>16</v>
      </c>
      <c r="B12" s="19" t="s">
        <v>49</v>
      </c>
      <c r="C12" s="19"/>
      <c r="D12" s="19"/>
      <c r="E12" s="19"/>
      <c r="F12" s="19"/>
      <c r="G12" s="20" t="str">
        <f>IF(E7&lt;2000000.01,"Y"," ")</f>
        <v> </v>
      </c>
      <c r="H12" s="21">
        <v>0</v>
      </c>
      <c r="I12" s="19"/>
      <c r="J12" s="22">
        <v>0</v>
      </c>
      <c r="K12" s="22" t="s">
        <v>17</v>
      </c>
      <c r="M12" s="23"/>
      <c r="N12" s="24">
        <f aca="true" t="shared" si="0" ref="N12:N20">IF(G12="Y",(H12+(J12*L12)),0)</f>
        <v>0</v>
      </c>
    </row>
    <row r="13" spans="1:14" ht="12.75">
      <c r="A13" s="18" t="s">
        <v>16</v>
      </c>
      <c r="B13" s="19" t="s">
        <v>18</v>
      </c>
      <c r="C13" s="25">
        <v>3600000</v>
      </c>
      <c r="D13" s="19" t="s">
        <v>38</v>
      </c>
      <c r="E13" s="26">
        <v>4100000</v>
      </c>
      <c r="F13" s="25" t="s">
        <v>19</v>
      </c>
      <c r="G13" s="20" t="str">
        <f>IF($E$7&gt;3600000,(IF($E$7&lt;4100000.01,"Y"," "))," ")</f>
        <v> </v>
      </c>
      <c r="H13" s="21">
        <v>0</v>
      </c>
      <c r="I13" s="19" t="s">
        <v>11</v>
      </c>
      <c r="J13" s="22">
        <v>0.078</v>
      </c>
      <c r="K13" s="22" t="s">
        <v>17</v>
      </c>
      <c r="L13" s="21">
        <f aca="true" t="shared" si="1" ref="L13:L20">IF(G13="Y",($E$7-C13),0)</f>
        <v>0</v>
      </c>
      <c r="M13" s="23" t="s">
        <v>14</v>
      </c>
      <c r="N13" s="24">
        <f t="shared" si="0"/>
        <v>0</v>
      </c>
    </row>
    <row r="14" spans="1:14" ht="12.75">
      <c r="A14" s="18" t="s">
        <v>16</v>
      </c>
      <c r="B14" s="19" t="s">
        <v>18</v>
      </c>
      <c r="C14" s="25">
        <v>4100000</v>
      </c>
      <c r="D14" s="19" t="s">
        <v>38</v>
      </c>
      <c r="E14" s="26">
        <v>5100000</v>
      </c>
      <c r="F14" s="25" t="s">
        <v>19</v>
      </c>
      <c r="G14" s="20" t="str">
        <f>IF($E$7&gt;4100000,(IF($E$7&lt;5100000.01,"Y"," "))," ")</f>
        <v> </v>
      </c>
      <c r="H14" s="21">
        <f aca="true" t="shared" si="2" ref="H14:H20">H13+(J13*(E13-C13))</f>
        <v>39000</v>
      </c>
      <c r="I14" s="19" t="s">
        <v>11</v>
      </c>
      <c r="J14" s="22">
        <v>0.084</v>
      </c>
      <c r="K14" s="22" t="s">
        <v>17</v>
      </c>
      <c r="L14" s="21">
        <f t="shared" si="1"/>
        <v>0</v>
      </c>
      <c r="M14" s="23" t="s">
        <v>14</v>
      </c>
      <c r="N14" s="24">
        <f t="shared" si="0"/>
        <v>0</v>
      </c>
    </row>
    <row r="15" spans="1:14" ht="12.75">
      <c r="A15" s="18" t="s">
        <v>16</v>
      </c>
      <c r="B15" s="19" t="s">
        <v>18</v>
      </c>
      <c r="C15" s="25">
        <f aca="true" t="shared" si="3" ref="C15:C20">E14</f>
        <v>5100000</v>
      </c>
      <c r="D15" s="19" t="s">
        <v>38</v>
      </c>
      <c r="E15" s="26">
        <v>6100000</v>
      </c>
      <c r="F15" s="25" t="s">
        <v>19</v>
      </c>
      <c r="G15" s="20" t="str">
        <f>IF($E$7&gt;5100000,(IF($E$7&lt;6100000.01,"Y"," "))," ")</f>
        <v> </v>
      </c>
      <c r="H15" s="21">
        <f t="shared" si="2"/>
        <v>123000</v>
      </c>
      <c r="I15" s="19" t="s">
        <v>11</v>
      </c>
      <c r="J15" s="22">
        <v>0.1</v>
      </c>
      <c r="K15" s="22" t="s">
        <v>17</v>
      </c>
      <c r="L15" s="21">
        <f t="shared" si="1"/>
        <v>0</v>
      </c>
      <c r="M15" s="23" t="s">
        <v>14</v>
      </c>
      <c r="N15" s="24">
        <f t="shared" si="0"/>
        <v>0</v>
      </c>
    </row>
    <row r="16" spans="1:14" ht="12.75">
      <c r="A16" s="18" t="s">
        <v>16</v>
      </c>
      <c r="B16" s="19" t="s">
        <v>18</v>
      </c>
      <c r="C16" s="25">
        <f t="shared" si="3"/>
        <v>6100000</v>
      </c>
      <c r="D16" s="19" t="s">
        <v>38</v>
      </c>
      <c r="E16" s="26">
        <v>7100000</v>
      </c>
      <c r="F16" s="25" t="s">
        <v>19</v>
      </c>
      <c r="G16" s="20" t="str">
        <f>IF($E$7&gt;6100000,(IF($E$7&lt;7100000.01,"Y"," "))," ")</f>
        <v> </v>
      </c>
      <c r="H16" s="21">
        <f t="shared" si="2"/>
        <v>223000</v>
      </c>
      <c r="I16" s="19" t="s">
        <v>11</v>
      </c>
      <c r="J16" s="22">
        <v>0.104</v>
      </c>
      <c r="K16" s="22" t="s">
        <v>17</v>
      </c>
      <c r="L16" s="21">
        <f t="shared" si="1"/>
        <v>0</v>
      </c>
      <c r="M16" s="23" t="s">
        <v>14</v>
      </c>
      <c r="N16" s="24">
        <f t="shared" si="0"/>
        <v>0</v>
      </c>
    </row>
    <row r="17" spans="1:14" ht="12.75">
      <c r="A17" s="18" t="s">
        <v>16</v>
      </c>
      <c r="B17" s="19" t="s">
        <v>18</v>
      </c>
      <c r="C17" s="25">
        <f t="shared" si="3"/>
        <v>7100000</v>
      </c>
      <c r="D17" s="19" t="s">
        <v>38</v>
      </c>
      <c r="E17" s="26">
        <f>E16+1000000</f>
        <v>8100000</v>
      </c>
      <c r="F17" s="25" t="s">
        <v>19</v>
      </c>
      <c r="G17" s="20" t="str">
        <f>IF($E$7&gt;7100000,(IF($E$7&lt;8100000.01,"Y"," "))," ")</f>
        <v> </v>
      </c>
      <c r="H17" s="21">
        <f t="shared" si="2"/>
        <v>327000</v>
      </c>
      <c r="I17" s="19" t="s">
        <v>11</v>
      </c>
      <c r="J17" s="22">
        <v>0.108</v>
      </c>
      <c r="K17" s="22" t="s">
        <v>17</v>
      </c>
      <c r="L17" s="21">
        <f t="shared" si="1"/>
        <v>0</v>
      </c>
      <c r="M17" s="23" t="s">
        <v>14</v>
      </c>
      <c r="N17" s="24">
        <f t="shared" si="0"/>
        <v>0</v>
      </c>
    </row>
    <row r="18" spans="1:14" ht="12.75">
      <c r="A18" s="18" t="s">
        <v>16</v>
      </c>
      <c r="B18" s="19" t="s">
        <v>18</v>
      </c>
      <c r="C18" s="25">
        <f t="shared" si="3"/>
        <v>8100000</v>
      </c>
      <c r="D18" s="19" t="s">
        <v>38</v>
      </c>
      <c r="E18" s="26">
        <f>E17+1000000</f>
        <v>9100000</v>
      </c>
      <c r="F18" s="25" t="s">
        <v>19</v>
      </c>
      <c r="G18" s="20" t="str">
        <f>IF($E$7&gt;8100000,(IF($E$7&lt;9100000.01,"Y"," "))," ")</f>
        <v> </v>
      </c>
      <c r="H18" s="21">
        <f t="shared" si="2"/>
        <v>435000</v>
      </c>
      <c r="I18" s="19" t="s">
        <v>11</v>
      </c>
      <c r="J18" s="22">
        <v>0.112</v>
      </c>
      <c r="K18" s="22" t="s">
        <v>17</v>
      </c>
      <c r="L18" s="21">
        <f t="shared" si="1"/>
        <v>0</v>
      </c>
      <c r="M18" s="23" t="s">
        <v>14</v>
      </c>
      <c r="N18" s="24">
        <f t="shared" si="0"/>
        <v>0</v>
      </c>
    </row>
    <row r="19" spans="1:14" ht="12.75">
      <c r="A19" s="18" t="s">
        <v>16</v>
      </c>
      <c r="B19" s="19" t="s">
        <v>18</v>
      </c>
      <c r="C19" s="25">
        <f t="shared" si="3"/>
        <v>9100000</v>
      </c>
      <c r="D19" s="19" t="s">
        <v>38</v>
      </c>
      <c r="E19" s="26">
        <f>E18+1000000</f>
        <v>10100000</v>
      </c>
      <c r="F19" s="25" t="s">
        <v>19</v>
      </c>
      <c r="G19" s="20" t="str">
        <f>IF($E$7&gt;9100000,(IF($E$7&lt;10100000.01,"Y"," "))," ")</f>
        <v> </v>
      </c>
      <c r="H19" s="21">
        <f t="shared" si="2"/>
        <v>547000</v>
      </c>
      <c r="I19" s="19" t="s">
        <v>11</v>
      </c>
      <c r="J19" s="22">
        <v>0.116</v>
      </c>
      <c r="K19" s="22" t="s">
        <v>17</v>
      </c>
      <c r="L19" s="21">
        <f t="shared" si="1"/>
        <v>0</v>
      </c>
      <c r="M19" s="23" t="s">
        <v>14</v>
      </c>
      <c r="N19" s="24">
        <f t="shared" si="0"/>
        <v>0</v>
      </c>
    </row>
    <row r="20" spans="1:14" ht="12.75">
      <c r="A20" s="18" t="s">
        <v>16</v>
      </c>
      <c r="B20" s="19" t="s">
        <v>18</v>
      </c>
      <c r="C20" s="25">
        <f t="shared" si="3"/>
        <v>10100000</v>
      </c>
      <c r="D20" s="19"/>
      <c r="E20" s="26"/>
      <c r="F20" s="25" t="s">
        <v>19</v>
      </c>
      <c r="G20" s="20" t="str">
        <f>IF($E$7&gt;10100000,"Y"," ")</f>
        <v>Y</v>
      </c>
      <c r="H20" s="21">
        <f t="shared" si="2"/>
        <v>663000</v>
      </c>
      <c r="I20" s="19" t="s">
        <v>11</v>
      </c>
      <c r="J20" s="22">
        <v>0.12</v>
      </c>
      <c r="K20" s="22" t="s">
        <v>17</v>
      </c>
      <c r="L20" s="21">
        <f t="shared" si="1"/>
        <v>4900000</v>
      </c>
      <c r="M20" s="23" t="s">
        <v>14</v>
      </c>
      <c r="N20" s="24">
        <f t="shared" si="0"/>
        <v>1251000</v>
      </c>
    </row>
    <row r="21" spans="1:14" ht="12.75">
      <c r="A21" s="14"/>
      <c r="B21" s="15"/>
      <c r="C21" s="15"/>
      <c r="D21" s="15"/>
      <c r="E21" s="15"/>
      <c r="F21" s="15"/>
      <c r="G21" s="20"/>
      <c r="H21" s="19"/>
      <c r="I21" s="19"/>
      <c r="J21" s="19"/>
      <c r="K21" s="19"/>
      <c r="L21" s="19"/>
      <c r="M21" s="27" t="s">
        <v>20</v>
      </c>
      <c r="N21" s="24">
        <f>SUM(N12:N20)</f>
        <v>1251000</v>
      </c>
    </row>
    <row r="23" ht="12.75">
      <c r="C23" s="64"/>
    </row>
  </sheetData>
  <sheetProtection/>
  <printOptions/>
  <pageMargins left="1.1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E8" sqref="E8"/>
    </sheetView>
  </sheetViews>
  <sheetFormatPr defaultColWidth="9.140625" defaultRowHeight="12.75"/>
  <cols>
    <col min="1" max="1" width="8.00390625" style="0" customWidth="1"/>
    <col min="2" max="2" width="9.7109375" style="0" customWidth="1"/>
    <col min="3" max="3" width="11.7109375" style="0" bestFit="1" customWidth="1"/>
    <col min="4" max="4" width="13.57421875" style="0" customWidth="1"/>
    <col min="5" max="5" width="12.28125" style="0" bestFit="1" customWidth="1"/>
    <col min="6" max="6" width="2.57421875" style="0" customWidth="1"/>
    <col min="7" max="7" width="3.00390625" style="0" bestFit="1" customWidth="1"/>
    <col min="8" max="8" width="15.7109375" style="0" bestFit="1" customWidth="1"/>
    <col min="9" max="9" width="4.421875" style="0" bestFit="1" customWidth="1"/>
    <col min="10" max="10" width="7.28125" style="0" bestFit="1" customWidth="1"/>
    <col min="11" max="11" width="3.140625" style="0" bestFit="1" customWidth="1"/>
    <col min="12" max="12" width="10.140625" style="0" bestFit="1" customWidth="1"/>
    <col min="13" max="13" width="3.28125" style="0" bestFit="1" customWidth="1"/>
    <col min="14" max="14" width="9.8515625" style="0" bestFit="1" customWidth="1"/>
  </cols>
  <sheetData>
    <row r="1" spans="1:10" ht="12.75">
      <c r="A1" t="s">
        <v>51</v>
      </c>
      <c r="J1" t="s">
        <v>0</v>
      </c>
    </row>
    <row r="2" ht="12.75">
      <c r="B2" s="1" t="s">
        <v>1</v>
      </c>
    </row>
    <row r="3" spans="1:5" ht="12.75">
      <c r="A3" t="s">
        <v>2</v>
      </c>
      <c r="E3" s="68">
        <f>'Fed 2018+'!E3</f>
        <v>15000000</v>
      </c>
    </row>
    <row r="4" spans="1:7" ht="12.75">
      <c r="A4" t="s">
        <v>3</v>
      </c>
      <c r="E4" s="68">
        <f>'Fed 2018+'!E4</f>
        <v>0</v>
      </c>
      <c r="G4" t="s">
        <v>45</v>
      </c>
    </row>
    <row r="5" spans="1:5" ht="12.75">
      <c r="A5" t="s">
        <v>41</v>
      </c>
      <c r="E5" s="68">
        <f>'Fed 2018+'!E5</f>
        <v>0</v>
      </c>
    </row>
    <row r="6" spans="1:5" ht="12.75">
      <c r="A6" t="s">
        <v>4</v>
      </c>
      <c r="E6" s="60">
        <v>0</v>
      </c>
    </row>
    <row r="7" spans="1:5" ht="12.75">
      <c r="A7" t="s">
        <v>5</v>
      </c>
      <c r="E7" s="2">
        <f>E3-E4-E5+E6</f>
        <v>15000000</v>
      </c>
    </row>
    <row r="8" spans="1:14" ht="12.75">
      <c r="A8" t="s">
        <v>6</v>
      </c>
      <c r="D8" s="3"/>
      <c r="E8" s="4">
        <f>IF(N19&gt;0,N19,0)</f>
        <v>1128000</v>
      </c>
      <c r="G8" s="5"/>
      <c r="H8" s="6"/>
      <c r="I8" s="7"/>
      <c r="J8" s="7"/>
      <c r="K8" s="7"/>
      <c r="L8" s="7"/>
      <c r="M8" s="5"/>
      <c r="N8" s="8"/>
    </row>
    <row r="9" spans="1:14" ht="12.75">
      <c r="A9" t="s">
        <v>64</v>
      </c>
      <c r="D9" s="3"/>
      <c r="E9" s="66">
        <f>'Fed 2018+'!$E$17</f>
        <v>1192200</v>
      </c>
      <c r="G9" s="12"/>
      <c r="H9" s="10"/>
      <c r="I9" s="11"/>
      <c r="J9" s="11"/>
      <c r="K9" s="11"/>
      <c r="L9" s="11"/>
      <c r="M9" s="12"/>
      <c r="N9" s="13"/>
    </row>
    <row r="10" spans="1:14" ht="12.75">
      <c r="A10" t="s">
        <v>62</v>
      </c>
      <c r="D10" s="3"/>
      <c r="E10" s="70">
        <f>SUM(E8:E9)</f>
        <v>2320200</v>
      </c>
      <c r="G10" s="9"/>
      <c r="H10" s="10" t="s">
        <v>7</v>
      </c>
      <c r="I10" s="11"/>
      <c r="J10" s="11"/>
      <c r="K10" s="11"/>
      <c r="L10" s="11"/>
      <c r="M10" s="12"/>
      <c r="N10" s="13" t="s">
        <v>8</v>
      </c>
    </row>
    <row r="11" spans="7:14" ht="12.75">
      <c r="G11" s="9" t="s">
        <v>9</v>
      </c>
      <c r="H11" s="14" t="s">
        <v>10</v>
      </c>
      <c r="I11" s="15" t="s">
        <v>11</v>
      </c>
      <c r="J11" s="15" t="s">
        <v>12</v>
      </c>
      <c r="K11" s="15"/>
      <c r="L11" s="15" t="s">
        <v>13</v>
      </c>
      <c r="M11" s="16" t="s">
        <v>14</v>
      </c>
      <c r="N11" s="17" t="s">
        <v>15</v>
      </c>
    </row>
    <row r="12" spans="1:14" ht="12.75">
      <c r="A12" s="18" t="s">
        <v>16</v>
      </c>
      <c r="B12" s="19" t="s">
        <v>52</v>
      </c>
      <c r="C12" s="19"/>
      <c r="D12" s="19"/>
      <c r="E12" s="19"/>
      <c r="F12" s="19"/>
      <c r="G12" s="20" t="str">
        <f>IF(E7&lt;2000000.01,"Y"," ")</f>
        <v> </v>
      </c>
      <c r="H12" s="21">
        <v>0</v>
      </c>
      <c r="I12" s="19"/>
      <c r="J12" s="22">
        <v>0</v>
      </c>
      <c r="K12" s="22" t="s">
        <v>17</v>
      </c>
      <c r="M12" s="23"/>
      <c r="N12" s="24">
        <f aca="true" t="shared" si="0" ref="N12:N18">IF(G12="Y",(H12+(J12*L12)),0)</f>
        <v>0</v>
      </c>
    </row>
    <row r="13" spans="1:14" ht="12.75">
      <c r="A13" s="18" t="s">
        <v>16</v>
      </c>
      <c r="B13" s="19" t="s">
        <v>18</v>
      </c>
      <c r="C13" s="25">
        <v>5100000</v>
      </c>
      <c r="D13" s="19" t="s">
        <v>38</v>
      </c>
      <c r="E13" s="26">
        <v>6100000</v>
      </c>
      <c r="F13" s="25" t="s">
        <v>19</v>
      </c>
      <c r="G13" s="20" t="str">
        <f>IF($E$7&gt;5100000,(IF($E$7&lt;6100000.01,"Y"," "))," ")</f>
        <v> </v>
      </c>
      <c r="H13" s="21">
        <v>0</v>
      </c>
      <c r="I13" s="19" t="s">
        <v>11</v>
      </c>
      <c r="J13" s="22">
        <v>0.1</v>
      </c>
      <c r="K13" s="22" t="s">
        <v>17</v>
      </c>
      <c r="L13" s="21">
        <f aca="true" t="shared" si="1" ref="L13:L18">IF(G13="Y",($E$7-C13),0)</f>
        <v>0</v>
      </c>
      <c r="M13" s="23" t="s">
        <v>14</v>
      </c>
      <c r="N13" s="24">
        <f t="shared" si="0"/>
        <v>0</v>
      </c>
    </row>
    <row r="14" spans="1:14" ht="12.75">
      <c r="A14" s="18" t="s">
        <v>16</v>
      </c>
      <c r="B14" s="19" t="s">
        <v>18</v>
      </c>
      <c r="C14" s="25">
        <f>E13</f>
        <v>6100000</v>
      </c>
      <c r="D14" s="19" t="s">
        <v>38</v>
      </c>
      <c r="E14" s="26">
        <v>7100000</v>
      </c>
      <c r="F14" s="25" t="s">
        <v>19</v>
      </c>
      <c r="G14" s="20" t="str">
        <f>IF($E$7&gt;6100000,(IF($E$7&lt;7100000.01,"Y"," "))," ")</f>
        <v> </v>
      </c>
      <c r="H14" s="21">
        <f>H13+(J13*(E13-C13))</f>
        <v>100000</v>
      </c>
      <c r="I14" s="19" t="s">
        <v>11</v>
      </c>
      <c r="J14" s="22">
        <v>0.104</v>
      </c>
      <c r="K14" s="22" t="s">
        <v>17</v>
      </c>
      <c r="L14" s="21">
        <f t="shared" si="1"/>
        <v>0</v>
      </c>
      <c r="M14" s="23" t="s">
        <v>14</v>
      </c>
      <c r="N14" s="24">
        <f t="shared" si="0"/>
        <v>0</v>
      </c>
    </row>
    <row r="15" spans="1:14" ht="12.75">
      <c r="A15" s="18" t="s">
        <v>16</v>
      </c>
      <c r="B15" s="19" t="s">
        <v>18</v>
      </c>
      <c r="C15" s="25">
        <f>E14</f>
        <v>7100000</v>
      </c>
      <c r="D15" s="19" t="s">
        <v>38</v>
      </c>
      <c r="E15" s="26">
        <f>E14+1000000</f>
        <v>8100000</v>
      </c>
      <c r="F15" s="25" t="s">
        <v>19</v>
      </c>
      <c r="G15" s="20" t="str">
        <f>IF($E$7&gt;7100000,(IF($E$7&lt;8100000.01,"Y"," "))," ")</f>
        <v> </v>
      </c>
      <c r="H15" s="21">
        <f>H14+(J14*(E14-C14))</f>
        <v>204000</v>
      </c>
      <c r="I15" s="19" t="s">
        <v>11</v>
      </c>
      <c r="J15" s="22">
        <v>0.108</v>
      </c>
      <c r="K15" s="22" t="s">
        <v>17</v>
      </c>
      <c r="L15" s="21">
        <f t="shared" si="1"/>
        <v>0</v>
      </c>
      <c r="M15" s="23" t="s">
        <v>14</v>
      </c>
      <c r="N15" s="24">
        <f t="shared" si="0"/>
        <v>0</v>
      </c>
    </row>
    <row r="16" spans="1:14" ht="12.75">
      <c r="A16" s="18" t="s">
        <v>16</v>
      </c>
      <c r="B16" s="19" t="s">
        <v>18</v>
      </c>
      <c r="C16" s="25">
        <f>E15</f>
        <v>8100000</v>
      </c>
      <c r="D16" s="19" t="s">
        <v>38</v>
      </c>
      <c r="E16" s="26">
        <f>E15+1000000</f>
        <v>9100000</v>
      </c>
      <c r="F16" s="25" t="s">
        <v>19</v>
      </c>
      <c r="G16" s="20" t="str">
        <f>IF($E$7&gt;8100000,(IF($E$7&lt;9100000.01,"Y"," "))," ")</f>
        <v> </v>
      </c>
      <c r="H16" s="21">
        <f>H15+(J15*(E15-C15))</f>
        <v>312000</v>
      </c>
      <c r="I16" s="19" t="s">
        <v>11</v>
      </c>
      <c r="J16" s="22">
        <v>0.112</v>
      </c>
      <c r="K16" s="22" t="s">
        <v>17</v>
      </c>
      <c r="L16" s="21">
        <f t="shared" si="1"/>
        <v>0</v>
      </c>
      <c r="M16" s="23" t="s">
        <v>14</v>
      </c>
      <c r="N16" s="24">
        <f t="shared" si="0"/>
        <v>0</v>
      </c>
    </row>
    <row r="17" spans="1:14" ht="12.75">
      <c r="A17" s="18" t="s">
        <v>16</v>
      </c>
      <c r="B17" s="19" t="s">
        <v>18</v>
      </c>
      <c r="C17" s="25">
        <f>E16</f>
        <v>9100000</v>
      </c>
      <c r="D17" s="19" t="s">
        <v>38</v>
      </c>
      <c r="E17" s="26">
        <f>E16+1000000</f>
        <v>10100000</v>
      </c>
      <c r="F17" s="25" t="s">
        <v>19</v>
      </c>
      <c r="G17" s="20" t="str">
        <f>IF($E$7&gt;9100000,(IF($E$7&lt;10100000.01,"Y"," "))," ")</f>
        <v> </v>
      </c>
      <c r="H17" s="21">
        <f>H16+(J16*(E16-C16))</f>
        <v>424000</v>
      </c>
      <c r="I17" s="19" t="s">
        <v>11</v>
      </c>
      <c r="J17" s="22">
        <v>0.116</v>
      </c>
      <c r="K17" s="22" t="s">
        <v>17</v>
      </c>
      <c r="L17" s="21">
        <f t="shared" si="1"/>
        <v>0</v>
      </c>
      <c r="M17" s="23" t="s">
        <v>14</v>
      </c>
      <c r="N17" s="24">
        <f t="shared" si="0"/>
        <v>0</v>
      </c>
    </row>
    <row r="18" spans="1:14" ht="12.75">
      <c r="A18" s="18" t="s">
        <v>16</v>
      </c>
      <c r="B18" s="19" t="s">
        <v>18</v>
      </c>
      <c r="C18" s="25">
        <f>E17</f>
        <v>10100000</v>
      </c>
      <c r="D18" s="19"/>
      <c r="E18" s="26"/>
      <c r="F18" s="25" t="s">
        <v>19</v>
      </c>
      <c r="G18" s="20" t="str">
        <f>IF($E$7&gt;10100000,"Y"," ")</f>
        <v>Y</v>
      </c>
      <c r="H18" s="21">
        <f>H17+(J17*(E17-C17))</f>
        <v>540000</v>
      </c>
      <c r="I18" s="19" t="s">
        <v>11</v>
      </c>
      <c r="J18" s="22">
        <v>0.12</v>
      </c>
      <c r="K18" s="22" t="s">
        <v>17</v>
      </c>
      <c r="L18" s="21">
        <f t="shared" si="1"/>
        <v>4900000</v>
      </c>
      <c r="M18" s="23" t="s">
        <v>14</v>
      </c>
      <c r="N18" s="24">
        <f t="shared" si="0"/>
        <v>1128000</v>
      </c>
    </row>
    <row r="19" spans="1:14" ht="12.75">
      <c r="A19" s="14"/>
      <c r="B19" s="15"/>
      <c r="C19" s="15"/>
      <c r="D19" s="15"/>
      <c r="E19" s="15"/>
      <c r="F19" s="15"/>
      <c r="G19" s="20"/>
      <c r="H19" s="19"/>
      <c r="I19" s="19"/>
      <c r="J19" s="19"/>
      <c r="K19" s="19"/>
      <c r="L19" s="19"/>
      <c r="M19" s="27" t="s">
        <v>20</v>
      </c>
      <c r="N19" s="24">
        <f>SUM(N12:N18)</f>
        <v>1128000</v>
      </c>
    </row>
    <row r="21" ht="12.75">
      <c r="C21" s="64"/>
    </row>
  </sheetData>
  <sheetProtection/>
  <printOptions/>
  <pageMargins left="1.1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E8" sqref="E8"/>
    </sheetView>
  </sheetViews>
  <sheetFormatPr defaultColWidth="9.140625" defaultRowHeight="12.75"/>
  <cols>
    <col min="1" max="1" width="8.00390625" style="0" customWidth="1"/>
    <col min="2" max="2" width="9.7109375" style="0" customWidth="1"/>
    <col min="3" max="3" width="11.7109375" style="0" bestFit="1" customWidth="1"/>
    <col min="4" max="4" width="13.57421875" style="0" customWidth="1"/>
    <col min="5" max="5" width="12.28125" style="0" bestFit="1" customWidth="1"/>
    <col min="6" max="6" width="2.57421875" style="0" customWidth="1"/>
    <col min="7" max="7" width="3.00390625" style="0" bestFit="1" customWidth="1"/>
    <col min="8" max="8" width="15.7109375" style="0" bestFit="1" customWidth="1"/>
    <col min="9" max="9" width="4.421875" style="0" bestFit="1" customWidth="1"/>
    <col min="10" max="10" width="7.28125" style="0" bestFit="1" customWidth="1"/>
    <col min="11" max="11" width="3.140625" style="0" bestFit="1" customWidth="1"/>
    <col min="12" max="12" width="10.140625" style="0" bestFit="1" customWidth="1"/>
    <col min="13" max="13" width="3.28125" style="0" bestFit="1" customWidth="1"/>
    <col min="14" max="14" width="9.8515625" style="0" bestFit="1" customWidth="1"/>
  </cols>
  <sheetData>
    <row r="1" spans="1:10" ht="12.75">
      <c r="A1" t="s">
        <v>53</v>
      </c>
      <c r="J1" t="s">
        <v>0</v>
      </c>
    </row>
    <row r="2" ht="12.75">
      <c r="B2" s="1" t="s">
        <v>1</v>
      </c>
    </row>
    <row r="3" spans="1:5" ht="12.75">
      <c r="A3" t="s">
        <v>2</v>
      </c>
      <c r="E3" s="68">
        <f>'Fed 2018+'!E3</f>
        <v>15000000</v>
      </c>
    </row>
    <row r="4" spans="1:7" ht="12.75">
      <c r="A4" t="s">
        <v>3</v>
      </c>
      <c r="E4" s="68">
        <f>'Fed 2018+'!E4</f>
        <v>0</v>
      </c>
      <c r="G4" t="s">
        <v>45</v>
      </c>
    </row>
    <row r="5" spans="1:5" ht="12.75">
      <c r="A5" t="s">
        <v>41</v>
      </c>
      <c r="E5" s="68">
        <f>'Fed 2018+'!E5</f>
        <v>0</v>
      </c>
    </row>
    <row r="6" spans="1:5" ht="12.75">
      <c r="A6" t="s">
        <v>4</v>
      </c>
      <c r="E6" s="60">
        <v>0</v>
      </c>
    </row>
    <row r="7" spans="1:5" ht="12.75">
      <c r="A7" t="s">
        <v>5</v>
      </c>
      <c r="E7" s="2">
        <f>E3-E4-E5+E6</f>
        <v>15000000</v>
      </c>
    </row>
    <row r="8" spans="1:14" ht="12.75">
      <c r="A8" t="s">
        <v>6</v>
      </c>
      <c r="D8" s="3"/>
      <c r="E8" s="4">
        <f>IF(N17&gt;0,N17,0)</f>
        <v>924000</v>
      </c>
      <c r="G8" s="5"/>
      <c r="H8" s="6"/>
      <c r="I8" s="7"/>
      <c r="J8" s="7"/>
      <c r="K8" s="7"/>
      <c r="L8" s="7"/>
      <c r="M8" s="5"/>
      <c r="N8" s="8"/>
    </row>
    <row r="9" spans="1:14" ht="12.75">
      <c r="A9" t="s">
        <v>65</v>
      </c>
      <c r="D9" s="3"/>
      <c r="E9" s="71">
        <f>'Fed 2018+'!$E$17</f>
        <v>1192200</v>
      </c>
      <c r="G9" s="12"/>
      <c r="H9" s="10"/>
      <c r="I9" s="11"/>
      <c r="J9" s="11"/>
      <c r="K9" s="11"/>
      <c r="L9" s="11"/>
      <c r="M9" s="12"/>
      <c r="N9" s="13"/>
    </row>
    <row r="10" spans="4:14" ht="12.75">
      <c r="D10" s="69" t="s">
        <v>5</v>
      </c>
      <c r="E10" s="65">
        <f>SUM(E8:E9)</f>
        <v>2116200</v>
      </c>
      <c r="G10" s="9"/>
      <c r="H10" s="10" t="s">
        <v>7</v>
      </c>
      <c r="I10" s="11"/>
      <c r="J10" s="11"/>
      <c r="K10" s="11"/>
      <c r="L10" s="11"/>
      <c r="M10" s="12"/>
      <c r="N10" s="13" t="s">
        <v>8</v>
      </c>
    </row>
    <row r="11" spans="7:14" ht="12.75">
      <c r="G11" s="9" t="s">
        <v>9</v>
      </c>
      <c r="H11" s="14" t="s">
        <v>10</v>
      </c>
      <c r="I11" s="15" t="s">
        <v>11</v>
      </c>
      <c r="J11" s="15" t="s">
        <v>12</v>
      </c>
      <c r="K11" s="15"/>
      <c r="L11" s="15" t="s">
        <v>13</v>
      </c>
      <c r="M11" s="16" t="s">
        <v>14</v>
      </c>
      <c r="N11" s="17" t="s">
        <v>15</v>
      </c>
    </row>
    <row r="12" spans="1:14" ht="12.75">
      <c r="A12" s="18" t="s">
        <v>16</v>
      </c>
      <c r="B12" s="19" t="s">
        <v>54</v>
      </c>
      <c r="C12" s="19"/>
      <c r="D12" s="19"/>
      <c r="E12" s="19"/>
      <c r="F12" s="19"/>
      <c r="G12" s="20" t="str">
        <f>IF(E7&lt;2000000.01,"Y"," ")</f>
        <v> </v>
      </c>
      <c r="H12" s="21">
        <v>0</v>
      </c>
      <c r="I12" s="19"/>
      <c r="J12" s="22">
        <v>0</v>
      </c>
      <c r="K12" s="22" t="s">
        <v>17</v>
      </c>
      <c r="M12" s="23"/>
      <c r="N12" s="24">
        <f>IF(G12="Y",(H12+(J12*L12)),0)</f>
        <v>0</v>
      </c>
    </row>
    <row r="13" spans="1:14" ht="12.75">
      <c r="A13" s="18" t="s">
        <v>16</v>
      </c>
      <c r="B13" s="19" t="s">
        <v>18</v>
      </c>
      <c r="C13" s="25">
        <v>7100000</v>
      </c>
      <c r="D13" s="19" t="s">
        <v>38</v>
      </c>
      <c r="E13" s="26">
        <f>C13+1000000</f>
        <v>8100000</v>
      </c>
      <c r="F13" s="25" t="s">
        <v>19</v>
      </c>
      <c r="G13" s="20" t="str">
        <f>IF($E$7&gt;7100000,(IF($E$7&lt;8100000.01,"Y"," "))," ")</f>
        <v> </v>
      </c>
      <c r="H13" s="21">
        <v>0</v>
      </c>
      <c r="I13" s="19" t="s">
        <v>11</v>
      </c>
      <c r="J13" s="22">
        <v>0.108</v>
      </c>
      <c r="K13" s="22" t="s">
        <v>17</v>
      </c>
      <c r="L13" s="21">
        <f>IF(G13="Y",($E$7-C13),0)</f>
        <v>0</v>
      </c>
      <c r="M13" s="23" t="s">
        <v>14</v>
      </c>
      <c r="N13" s="24">
        <f>IF(G13="Y",(H13+(J13*L13)),0)</f>
        <v>0</v>
      </c>
    </row>
    <row r="14" spans="1:14" ht="12.75">
      <c r="A14" s="18" t="s">
        <v>16</v>
      </c>
      <c r="B14" s="19" t="s">
        <v>18</v>
      </c>
      <c r="C14" s="25">
        <f>E13</f>
        <v>8100000</v>
      </c>
      <c r="D14" s="19" t="s">
        <v>38</v>
      </c>
      <c r="E14" s="26">
        <f>E13+1000000</f>
        <v>9100000</v>
      </c>
      <c r="F14" s="25" t="s">
        <v>19</v>
      </c>
      <c r="G14" s="20" t="str">
        <f>IF($E$7&gt;8100000,(IF($E$7&lt;9100000.01,"Y"," "))," ")</f>
        <v> </v>
      </c>
      <c r="H14" s="21">
        <f>H13+(J13*(E13-C13))</f>
        <v>108000</v>
      </c>
      <c r="I14" s="19" t="s">
        <v>11</v>
      </c>
      <c r="J14" s="22">
        <v>0.112</v>
      </c>
      <c r="K14" s="22" t="s">
        <v>17</v>
      </c>
      <c r="L14" s="21">
        <f>IF(G14="Y",($E$7-C14),0)</f>
        <v>0</v>
      </c>
      <c r="M14" s="23" t="s">
        <v>14</v>
      </c>
      <c r="N14" s="24">
        <f>IF(G14="Y",(H14+(J14*L14)),0)</f>
        <v>0</v>
      </c>
    </row>
    <row r="15" spans="1:14" ht="12.75">
      <c r="A15" s="18" t="s">
        <v>16</v>
      </c>
      <c r="B15" s="19" t="s">
        <v>18</v>
      </c>
      <c r="C15" s="25">
        <f>E14</f>
        <v>9100000</v>
      </c>
      <c r="D15" s="19" t="s">
        <v>38</v>
      </c>
      <c r="E15" s="26">
        <f>E14+1000000</f>
        <v>10100000</v>
      </c>
      <c r="F15" s="25" t="s">
        <v>19</v>
      </c>
      <c r="G15" s="20" t="str">
        <f>IF($E$7&gt;9100000,(IF($E$7&lt;10100000.01,"Y"," "))," ")</f>
        <v> </v>
      </c>
      <c r="H15" s="21">
        <f>H14+(J14*(E14-C14))</f>
        <v>220000</v>
      </c>
      <c r="I15" s="19" t="s">
        <v>11</v>
      </c>
      <c r="J15" s="22">
        <v>0.116</v>
      </c>
      <c r="K15" s="22" t="s">
        <v>17</v>
      </c>
      <c r="L15" s="21">
        <f>IF(G15="Y",($E$7-C15),0)</f>
        <v>0</v>
      </c>
      <c r="M15" s="23" t="s">
        <v>14</v>
      </c>
      <c r="N15" s="24">
        <f>IF(G15="Y",(H15+(J15*L15)),0)</f>
        <v>0</v>
      </c>
    </row>
    <row r="16" spans="1:14" ht="12.75">
      <c r="A16" s="18" t="s">
        <v>16</v>
      </c>
      <c r="B16" s="19" t="s">
        <v>18</v>
      </c>
      <c r="C16" s="25">
        <f>E15</f>
        <v>10100000</v>
      </c>
      <c r="D16" s="19"/>
      <c r="E16" s="26"/>
      <c r="F16" s="25" t="s">
        <v>19</v>
      </c>
      <c r="G16" s="20" t="str">
        <f>IF($E$7&gt;10100000,"Y"," ")</f>
        <v>Y</v>
      </c>
      <c r="H16" s="21">
        <f>H15+(J15*(E15-C15))</f>
        <v>336000</v>
      </c>
      <c r="I16" s="19" t="s">
        <v>11</v>
      </c>
      <c r="J16" s="22">
        <v>0.12</v>
      </c>
      <c r="K16" s="22" t="s">
        <v>17</v>
      </c>
      <c r="L16" s="21">
        <f>IF(G16="Y",($E$7-C16),0)</f>
        <v>4900000</v>
      </c>
      <c r="M16" s="23" t="s">
        <v>14</v>
      </c>
      <c r="N16" s="24">
        <f>IF(G16="Y",(H16+(J16*L16)),0)</f>
        <v>924000</v>
      </c>
    </row>
    <row r="17" spans="1:14" ht="12.75">
      <c r="A17" s="14"/>
      <c r="B17" s="15"/>
      <c r="C17" s="15"/>
      <c r="D17" s="15"/>
      <c r="E17" s="15"/>
      <c r="F17" s="15"/>
      <c r="G17" s="20"/>
      <c r="H17" s="19"/>
      <c r="I17" s="19"/>
      <c r="J17" s="19"/>
      <c r="K17" s="19"/>
      <c r="L17" s="19"/>
      <c r="M17" s="27" t="s">
        <v>20</v>
      </c>
      <c r="N17" s="24">
        <f>SUM(N12:N16)</f>
        <v>924000</v>
      </c>
    </row>
    <row r="19" ht="12.75">
      <c r="C19" s="64"/>
    </row>
  </sheetData>
  <sheetProtection/>
  <printOptions/>
  <pageMargins left="1.1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8.00390625" style="0" customWidth="1"/>
    <col min="2" max="2" width="9.7109375" style="0" customWidth="1"/>
    <col min="3" max="3" width="11.7109375" style="0" bestFit="1" customWidth="1"/>
    <col min="4" max="4" width="13.57421875" style="0" customWidth="1"/>
    <col min="5" max="5" width="12.28125" style="0" bestFit="1" customWidth="1"/>
    <col min="6" max="6" width="2.57421875" style="0" customWidth="1"/>
    <col min="7" max="7" width="3.00390625" style="0" bestFit="1" customWidth="1"/>
    <col min="8" max="8" width="15.7109375" style="0" bestFit="1" customWidth="1"/>
    <col min="9" max="9" width="4.421875" style="0" bestFit="1" customWidth="1"/>
    <col min="10" max="10" width="7.28125" style="0" bestFit="1" customWidth="1"/>
    <col min="11" max="11" width="3.140625" style="0" bestFit="1" customWidth="1"/>
    <col min="12" max="12" width="10.140625" style="0" bestFit="1" customWidth="1"/>
    <col min="13" max="13" width="3.28125" style="0" bestFit="1" customWidth="1"/>
    <col min="14" max="14" width="9.8515625" style="0" bestFit="1" customWidth="1"/>
  </cols>
  <sheetData>
    <row r="1" spans="1:10" ht="12.75">
      <c r="A1" t="s">
        <v>55</v>
      </c>
      <c r="J1" t="s">
        <v>0</v>
      </c>
    </row>
    <row r="2" ht="12.75">
      <c r="B2" s="1" t="s">
        <v>1</v>
      </c>
    </row>
    <row r="3" spans="1:5" ht="12.75">
      <c r="A3" t="s">
        <v>2</v>
      </c>
      <c r="E3" s="68">
        <f>'Fed 2018+'!E3</f>
        <v>15000000</v>
      </c>
    </row>
    <row r="4" spans="1:7" ht="12.75">
      <c r="A4" t="s">
        <v>3</v>
      </c>
      <c r="E4" s="68">
        <f>'Fed 2018+'!E4</f>
        <v>0</v>
      </c>
      <c r="G4" t="s">
        <v>45</v>
      </c>
    </row>
    <row r="5" spans="1:5" ht="12.75">
      <c r="A5" t="s">
        <v>41</v>
      </c>
      <c r="E5" s="68">
        <f>'Fed 2018+'!E5</f>
        <v>0</v>
      </c>
    </row>
    <row r="6" spans="1:5" ht="12.75">
      <c r="A6" t="s">
        <v>4</v>
      </c>
      <c r="E6" s="60">
        <v>0</v>
      </c>
    </row>
    <row r="7" spans="1:5" ht="12.75">
      <c r="A7" t="s">
        <v>5</v>
      </c>
      <c r="E7" s="2">
        <f>E3-E4-E5+E6</f>
        <v>15000000</v>
      </c>
    </row>
    <row r="8" spans="1:14" ht="12.75">
      <c r="A8" t="s">
        <v>6</v>
      </c>
      <c r="D8" s="3"/>
      <c r="E8" s="4">
        <f>IF(N15&gt;0,N15,0)</f>
        <v>704000</v>
      </c>
      <c r="G8" s="5"/>
      <c r="H8" s="6"/>
      <c r="I8" s="7"/>
      <c r="J8" s="7"/>
      <c r="K8" s="7"/>
      <c r="L8" s="7"/>
      <c r="M8" s="5"/>
      <c r="N8" s="8"/>
    </row>
    <row r="9" spans="1:14" ht="12.75">
      <c r="A9" t="s">
        <v>66</v>
      </c>
      <c r="D9" s="3"/>
      <c r="E9" s="71">
        <f>'Fed 2018+'!E17</f>
        <v>1192200</v>
      </c>
      <c r="G9" s="12"/>
      <c r="H9" s="10"/>
      <c r="I9" s="11"/>
      <c r="J9" s="11"/>
      <c r="K9" s="11"/>
      <c r="L9" s="11"/>
      <c r="M9" s="12"/>
      <c r="N9" s="13"/>
    </row>
    <row r="10" spans="4:14" ht="12.75">
      <c r="D10" s="69" t="s">
        <v>5</v>
      </c>
      <c r="E10" s="65">
        <f>SUM(E8:E9)</f>
        <v>1896200</v>
      </c>
      <c r="G10" s="9"/>
      <c r="H10" s="10" t="s">
        <v>7</v>
      </c>
      <c r="I10" s="11"/>
      <c r="J10" s="11"/>
      <c r="K10" s="11"/>
      <c r="L10" s="11"/>
      <c r="M10" s="12"/>
      <c r="N10" s="13" t="s">
        <v>8</v>
      </c>
    </row>
    <row r="11" spans="7:14" ht="12.75">
      <c r="G11" s="9" t="s">
        <v>9</v>
      </c>
      <c r="H11" s="14" t="s">
        <v>10</v>
      </c>
      <c r="I11" s="15" t="s">
        <v>11</v>
      </c>
      <c r="J11" s="15" t="s">
        <v>12</v>
      </c>
      <c r="K11" s="15"/>
      <c r="L11" s="15" t="s">
        <v>13</v>
      </c>
      <c r="M11" s="16" t="s">
        <v>14</v>
      </c>
      <c r="N11" s="17" t="s">
        <v>15</v>
      </c>
    </row>
    <row r="12" spans="1:14" ht="12.75">
      <c r="A12" s="18" t="s">
        <v>16</v>
      </c>
      <c r="B12" s="19" t="s">
        <v>56</v>
      </c>
      <c r="C12" s="19"/>
      <c r="D12" s="19"/>
      <c r="E12" s="19"/>
      <c r="F12" s="19"/>
      <c r="G12" s="20" t="str">
        <f>IF(E7&lt;2000000.01,"Y"," ")</f>
        <v> </v>
      </c>
      <c r="H12" s="21">
        <v>0</v>
      </c>
      <c r="I12" s="19"/>
      <c r="J12" s="22">
        <v>0</v>
      </c>
      <c r="K12" s="22" t="s">
        <v>17</v>
      </c>
      <c r="M12" s="23"/>
      <c r="N12" s="24">
        <f>IF(G12="Y",(H12+(J12*L12)),0)</f>
        <v>0</v>
      </c>
    </row>
    <row r="13" spans="1:14" ht="12.75">
      <c r="A13" s="18" t="s">
        <v>16</v>
      </c>
      <c r="B13" s="19" t="s">
        <v>18</v>
      </c>
      <c r="C13" s="25">
        <v>9100000</v>
      </c>
      <c r="D13" s="19" t="s">
        <v>38</v>
      </c>
      <c r="E13" s="26">
        <f>C13+1000000</f>
        <v>10100000</v>
      </c>
      <c r="F13" s="25" t="s">
        <v>19</v>
      </c>
      <c r="G13" s="20" t="str">
        <f>IF($E$7&gt;9100000,(IF($E$7&lt;10100000.01,"Y"," "))," ")</f>
        <v> </v>
      </c>
      <c r="H13" s="21">
        <v>0</v>
      </c>
      <c r="I13" s="19" t="s">
        <v>11</v>
      </c>
      <c r="J13" s="22">
        <v>0.116</v>
      </c>
      <c r="K13" s="22" t="s">
        <v>17</v>
      </c>
      <c r="L13" s="21">
        <f>IF(G13="Y",($E$7-C13),0)</f>
        <v>0</v>
      </c>
      <c r="M13" s="23" t="s">
        <v>14</v>
      </c>
      <c r="N13" s="24">
        <f>IF(G13="Y",(H13+(J13*L13)),0)</f>
        <v>0</v>
      </c>
    </row>
    <row r="14" spans="1:14" ht="12.75">
      <c r="A14" s="18" t="s">
        <v>16</v>
      </c>
      <c r="B14" s="19" t="s">
        <v>18</v>
      </c>
      <c r="C14" s="25">
        <f>E13</f>
        <v>10100000</v>
      </c>
      <c r="D14" s="19"/>
      <c r="E14" s="26"/>
      <c r="F14" s="25" t="s">
        <v>19</v>
      </c>
      <c r="G14" s="20" t="str">
        <f>IF($E$7&gt;10100000,"Y"," ")</f>
        <v>Y</v>
      </c>
      <c r="H14" s="21">
        <f>H13+(J13*(E13-C13))</f>
        <v>116000</v>
      </c>
      <c r="I14" s="19" t="s">
        <v>11</v>
      </c>
      <c r="J14" s="22">
        <v>0.12</v>
      </c>
      <c r="K14" s="22" t="s">
        <v>17</v>
      </c>
      <c r="L14" s="21">
        <f>IF(G14="Y",($E$7-C14),0)</f>
        <v>4900000</v>
      </c>
      <c r="M14" s="23" t="s">
        <v>14</v>
      </c>
      <c r="N14" s="24">
        <f>IF(G14="Y",(H14+(J14*L14)),0)</f>
        <v>704000</v>
      </c>
    </row>
    <row r="15" spans="1:14" ht="12.75">
      <c r="A15" s="14"/>
      <c r="B15" s="15"/>
      <c r="C15" s="15"/>
      <c r="D15" s="15"/>
      <c r="E15" s="15"/>
      <c r="F15" s="15"/>
      <c r="G15" s="20"/>
      <c r="H15" s="19"/>
      <c r="I15" s="19"/>
      <c r="J15" s="19"/>
      <c r="K15" s="19"/>
      <c r="L15" s="19"/>
      <c r="M15" s="27" t="s">
        <v>20</v>
      </c>
      <c r="N15" s="24">
        <f>SUM(N12:N14)</f>
        <v>704000</v>
      </c>
    </row>
    <row r="17" ht="12.75">
      <c r="C17" s="64"/>
    </row>
  </sheetData>
  <sheetProtection/>
  <printOptions/>
  <pageMargins left="1.1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9.00390625" style="29" customWidth="1"/>
    <col min="2" max="2" width="9.7109375" style="29" customWidth="1"/>
    <col min="3" max="3" width="11.7109375" style="29" bestFit="1" customWidth="1"/>
    <col min="4" max="4" width="13.00390625" style="29" customWidth="1"/>
    <col min="5" max="5" width="11.7109375" style="29" customWidth="1"/>
    <col min="6" max="6" width="2.57421875" style="29" customWidth="1"/>
    <col min="7" max="7" width="3.00390625" style="29" customWidth="1"/>
    <col min="8" max="8" width="10.140625" style="29" customWidth="1"/>
    <col min="9" max="9" width="4.421875" style="29" customWidth="1"/>
    <col min="10" max="10" width="7.28125" style="29" customWidth="1"/>
    <col min="11" max="11" width="3.140625" style="29" customWidth="1"/>
    <col min="12" max="12" width="10.140625" style="29" customWidth="1"/>
    <col min="13" max="13" width="3.28125" style="29" customWidth="1"/>
    <col min="14" max="14" width="8.57421875" style="29" customWidth="1"/>
    <col min="15" max="16384" width="9.00390625" style="29" customWidth="1"/>
  </cols>
  <sheetData>
    <row r="1" spans="1:10" ht="11.25">
      <c r="A1" s="28" t="s">
        <v>57</v>
      </c>
      <c r="E1" s="30"/>
      <c r="J1" s="29" t="s">
        <v>0</v>
      </c>
    </row>
    <row r="2" ht="11.25">
      <c r="E2" s="61"/>
    </row>
    <row r="3" spans="1:8" ht="12.75">
      <c r="A3" s="29" t="s">
        <v>21</v>
      </c>
      <c r="E3" s="30">
        <f>'State 2018'!$E$3</f>
        <v>15000000</v>
      </c>
      <c r="H3" s="1" t="s">
        <v>44</v>
      </c>
    </row>
    <row r="4" spans="1:7" ht="11.25">
      <c r="A4" s="29" t="s">
        <v>22</v>
      </c>
      <c r="E4" s="30">
        <f>'State 2018'!$E$4</f>
        <v>0</v>
      </c>
      <c r="G4" s="29" t="s">
        <v>45</v>
      </c>
    </row>
    <row r="5" spans="1:5" ht="11.25">
      <c r="A5" s="29" t="s">
        <v>23</v>
      </c>
      <c r="E5" s="30">
        <f>'State 2018'!$E$5</f>
        <v>0</v>
      </c>
    </row>
    <row r="6" spans="1:5" ht="11.25">
      <c r="A6" s="29" t="s">
        <v>42</v>
      </c>
      <c r="E6" s="62">
        <v>0</v>
      </c>
    </row>
    <row r="7" spans="1:5" ht="11.25">
      <c r="A7" s="29" t="s">
        <v>24</v>
      </c>
      <c r="E7" s="63">
        <v>0</v>
      </c>
    </row>
    <row r="8" spans="2:5" ht="11.25">
      <c r="B8" s="29" t="s">
        <v>25</v>
      </c>
      <c r="E8" s="31">
        <f>E3-E4-E5-E6+E7</f>
        <v>15000000</v>
      </c>
    </row>
    <row r="9" spans="1:5" ht="11.25">
      <c r="A9" s="29" t="s">
        <v>26</v>
      </c>
      <c r="D9" s="32" t="s">
        <v>27</v>
      </c>
      <c r="E9" s="33">
        <f>-'State 2018'!$E$8</f>
        <v>-1323000</v>
      </c>
    </row>
    <row r="10" spans="1:5" ht="11.25">
      <c r="A10" s="29" t="s">
        <v>28</v>
      </c>
      <c r="E10" s="30">
        <f>E8+E9</f>
        <v>13677000</v>
      </c>
    </row>
    <row r="11" spans="1:5" ht="11.25">
      <c r="A11" s="29" t="s">
        <v>29</v>
      </c>
      <c r="E11" s="30">
        <f>N32</f>
        <v>5416600</v>
      </c>
    </row>
    <row r="12" spans="2:5" ht="11.25">
      <c r="B12" s="29" t="s">
        <v>30</v>
      </c>
      <c r="D12" s="32" t="s">
        <v>27</v>
      </c>
      <c r="E12" s="33">
        <f>D17</f>
        <v>2180000</v>
      </c>
    </row>
    <row r="13" spans="1:5" ht="11.25">
      <c r="A13" s="29" t="s">
        <v>31</v>
      </c>
      <c r="E13" s="30">
        <f>IF(E11-E12&gt;0,E11-E12,0)</f>
        <v>3236600</v>
      </c>
    </row>
    <row r="14" spans="1:5" ht="11.25">
      <c r="A14" s="29" t="s">
        <v>32</v>
      </c>
      <c r="D14" s="32" t="s">
        <v>33</v>
      </c>
      <c r="E14" s="33">
        <f>'State 2018'!$E$8</f>
        <v>1323000</v>
      </c>
    </row>
    <row r="15" spans="1:5" ht="11.25">
      <c r="A15" s="29" t="s">
        <v>34</v>
      </c>
      <c r="E15" s="34">
        <f>SUM(E13:E14)</f>
        <v>4559600</v>
      </c>
    </row>
    <row r="16" ht="11.25">
      <c r="E16" s="30"/>
    </row>
    <row r="17" spans="1:14" ht="11.25">
      <c r="A17" s="29">
        <v>2016</v>
      </c>
      <c r="B17" s="29" t="s">
        <v>43</v>
      </c>
      <c r="D17" s="35">
        <f>40%*5450000</f>
        <v>2180000</v>
      </c>
      <c r="E17" s="36"/>
      <c r="G17" s="37"/>
      <c r="H17" s="38"/>
      <c r="I17" s="39"/>
      <c r="J17" s="39"/>
      <c r="K17" s="39"/>
      <c r="L17" s="39"/>
      <c r="M17" s="37"/>
      <c r="N17" s="40"/>
    </row>
    <row r="18" spans="2:14" ht="11.25">
      <c r="B18" s="29" t="s">
        <v>46</v>
      </c>
      <c r="D18" s="34"/>
      <c r="G18" s="41" t="s">
        <v>35</v>
      </c>
      <c r="H18" s="42" t="s">
        <v>7</v>
      </c>
      <c r="I18" s="43"/>
      <c r="J18" s="43"/>
      <c r="K18" s="43"/>
      <c r="L18" s="43"/>
      <c r="M18" s="44"/>
      <c r="N18" s="45" t="s">
        <v>36</v>
      </c>
    </row>
    <row r="19" spans="7:14" ht="11.25">
      <c r="G19" s="41"/>
      <c r="H19" s="46" t="s">
        <v>10</v>
      </c>
      <c r="I19" s="47" t="s">
        <v>11</v>
      </c>
      <c r="J19" s="47" t="s">
        <v>12</v>
      </c>
      <c r="K19" s="47"/>
      <c r="L19" s="47" t="s">
        <v>13</v>
      </c>
      <c r="M19" s="48" t="s">
        <v>14</v>
      </c>
      <c r="N19" s="49" t="s">
        <v>15</v>
      </c>
    </row>
    <row r="20" spans="1:14" ht="11.25">
      <c r="A20" s="50" t="s">
        <v>37</v>
      </c>
      <c r="B20" s="51" t="s">
        <v>18</v>
      </c>
      <c r="C20" s="52">
        <v>0</v>
      </c>
      <c r="D20" s="51" t="s">
        <v>38</v>
      </c>
      <c r="E20" s="53">
        <v>10000</v>
      </c>
      <c r="F20" s="52" t="s">
        <v>19</v>
      </c>
      <c r="G20" s="54" t="str">
        <f aca="true" t="shared" si="0" ref="G20:G30">IF($E$10&gt;C20,(IF($E$10&lt;(E20+0.01),"Y"," "))," ")</f>
        <v> </v>
      </c>
      <c r="H20" s="55">
        <v>0</v>
      </c>
      <c r="I20" s="51"/>
      <c r="J20" s="56">
        <v>0.18</v>
      </c>
      <c r="K20" s="56" t="s">
        <v>17</v>
      </c>
      <c r="L20" s="55">
        <f>IF(G20="Y",$E$10,0)</f>
        <v>0</v>
      </c>
      <c r="M20" s="57" t="s">
        <v>14</v>
      </c>
      <c r="N20" s="58">
        <f>J20*L20</f>
        <v>0</v>
      </c>
    </row>
    <row r="21" spans="1:14" ht="11.25">
      <c r="A21" s="50" t="s">
        <v>37</v>
      </c>
      <c r="B21" s="51" t="s">
        <v>18</v>
      </c>
      <c r="C21" s="52">
        <v>10000</v>
      </c>
      <c r="D21" s="51" t="s">
        <v>38</v>
      </c>
      <c r="E21" s="53">
        <v>20000</v>
      </c>
      <c r="F21" s="52" t="s">
        <v>19</v>
      </c>
      <c r="G21" s="54" t="str">
        <f t="shared" si="0"/>
        <v> </v>
      </c>
      <c r="H21" s="55">
        <v>1800</v>
      </c>
      <c r="I21" s="51" t="s">
        <v>11</v>
      </c>
      <c r="J21" s="56">
        <v>0.2</v>
      </c>
      <c r="K21" s="56" t="s">
        <v>17</v>
      </c>
      <c r="L21" s="55">
        <f aca="true" t="shared" si="1" ref="L21:L29">IF(G21="Y",$E$10-C21,0)</f>
        <v>0</v>
      </c>
      <c r="M21" s="57" t="s">
        <v>14</v>
      </c>
      <c r="N21" s="58">
        <f aca="true" t="shared" si="2" ref="N21:N29">IF(G21="Y",(H21+(J21*L21)),0)</f>
        <v>0</v>
      </c>
    </row>
    <row r="22" spans="1:14" ht="11.25">
      <c r="A22" s="50" t="s">
        <v>37</v>
      </c>
      <c r="B22" s="52" t="s">
        <v>18</v>
      </c>
      <c r="C22" s="52">
        <f aca="true" t="shared" si="3" ref="C22:C29">E21</f>
        <v>20000</v>
      </c>
      <c r="D22" s="51" t="s">
        <v>38</v>
      </c>
      <c r="E22" s="53">
        <v>40000</v>
      </c>
      <c r="F22" s="52" t="s">
        <v>19</v>
      </c>
      <c r="G22" s="54" t="str">
        <f t="shared" si="0"/>
        <v> </v>
      </c>
      <c r="H22" s="55">
        <v>3800</v>
      </c>
      <c r="I22" s="51" t="s">
        <v>11</v>
      </c>
      <c r="J22" s="56">
        <v>0.22</v>
      </c>
      <c r="K22" s="56" t="s">
        <v>17</v>
      </c>
      <c r="L22" s="55">
        <f t="shared" si="1"/>
        <v>0</v>
      </c>
      <c r="M22" s="57" t="s">
        <v>14</v>
      </c>
      <c r="N22" s="58">
        <f t="shared" si="2"/>
        <v>0</v>
      </c>
    </row>
    <row r="23" spans="1:14" ht="11.25">
      <c r="A23" s="50" t="s">
        <v>37</v>
      </c>
      <c r="B23" s="52" t="s">
        <v>18</v>
      </c>
      <c r="C23" s="52">
        <f t="shared" si="3"/>
        <v>40000</v>
      </c>
      <c r="D23" s="51" t="s">
        <v>38</v>
      </c>
      <c r="E23" s="53">
        <v>60000</v>
      </c>
      <c r="F23" s="52" t="s">
        <v>19</v>
      </c>
      <c r="G23" s="54" t="str">
        <f t="shared" si="0"/>
        <v> </v>
      </c>
      <c r="H23" s="55">
        <v>8200</v>
      </c>
      <c r="I23" s="51" t="s">
        <v>11</v>
      </c>
      <c r="J23" s="56">
        <v>0.24</v>
      </c>
      <c r="K23" s="56" t="s">
        <v>17</v>
      </c>
      <c r="L23" s="55">
        <f t="shared" si="1"/>
        <v>0</v>
      </c>
      <c r="M23" s="57" t="s">
        <v>14</v>
      </c>
      <c r="N23" s="58">
        <f t="shared" si="2"/>
        <v>0</v>
      </c>
    </row>
    <row r="24" spans="1:14" ht="11.25">
      <c r="A24" s="50" t="s">
        <v>37</v>
      </c>
      <c r="B24" s="52" t="s">
        <v>18</v>
      </c>
      <c r="C24" s="52">
        <f t="shared" si="3"/>
        <v>60000</v>
      </c>
      <c r="D24" s="51" t="s">
        <v>38</v>
      </c>
      <c r="E24" s="53">
        <v>80000</v>
      </c>
      <c r="F24" s="52" t="s">
        <v>19</v>
      </c>
      <c r="G24" s="54" t="str">
        <f t="shared" si="0"/>
        <v> </v>
      </c>
      <c r="H24" s="55">
        <v>13000</v>
      </c>
      <c r="I24" s="51" t="s">
        <v>11</v>
      </c>
      <c r="J24" s="56">
        <v>0.26</v>
      </c>
      <c r="K24" s="56" t="s">
        <v>17</v>
      </c>
      <c r="L24" s="55">
        <f t="shared" si="1"/>
        <v>0</v>
      </c>
      <c r="M24" s="57" t="s">
        <v>14</v>
      </c>
      <c r="N24" s="58">
        <f t="shared" si="2"/>
        <v>0</v>
      </c>
    </row>
    <row r="25" spans="1:14" ht="11.25">
      <c r="A25" s="50" t="s">
        <v>37</v>
      </c>
      <c r="B25" s="52" t="s">
        <v>18</v>
      </c>
      <c r="C25" s="52">
        <f t="shared" si="3"/>
        <v>80000</v>
      </c>
      <c r="D25" s="51" t="s">
        <v>38</v>
      </c>
      <c r="E25" s="53">
        <v>100000</v>
      </c>
      <c r="F25" s="52" t="s">
        <v>19</v>
      </c>
      <c r="G25" s="54" t="str">
        <f t="shared" si="0"/>
        <v> </v>
      </c>
      <c r="H25" s="55">
        <v>18200</v>
      </c>
      <c r="I25" s="51" t="s">
        <v>11</v>
      </c>
      <c r="J25" s="56">
        <v>0.28</v>
      </c>
      <c r="K25" s="56" t="s">
        <v>17</v>
      </c>
      <c r="L25" s="55">
        <f t="shared" si="1"/>
        <v>0</v>
      </c>
      <c r="M25" s="57" t="s">
        <v>14</v>
      </c>
      <c r="N25" s="58">
        <f t="shared" si="2"/>
        <v>0</v>
      </c>
    </row>
    <row r="26" spans="1:14" ht="11.25">
      <c r="A26" s="50" t="s">
        <v>37</v>
      </c>
      <c r="B26" s="52" t="s">
        <v>18</v>
      </c>
      <c r="C26" s="52">
        <f t="shared" si="3"/>
        <v>100000</v>
      </c>
      <c r="D26" s="51" t="s">
        <v>38</v>
      </c>
      <c r="E26" s="53">
        <v>150000</v>
      </c>
      <c r="F26" s="52" t="s">
        <v>19</v>
      </c>
      <c r="G26" s="54" t="str">
        <f t="shared" si="0"/>
        <v> </v>
      </c>
      <c r="H26" s="55">
        <v>23800</v>
      </c>
      <c r="I26" s="51" t="s">
        <v>11</v>
      </c>
      <c r="J26" s="56">
        <v>0.3</v>
      </c>
      <c r="K26" s="56" t="s">
        <v>17</v>
      </c>
      <c r="L26" s="55">
        <f t="shared" si="1"/>
        <v>0</v>
      </c>
      <c r="M26" s="57" t="s">
        <v>14</v>
      </c>
      <c r="N26" s="58">
        <f t="shared" si="2"/>
        <v>0</v>
      </c>
    </row>
    <row r="27" spans="1:14" ht="11.25">
      <c r="A27" s="50" t="s">
        <v>37</v>
      </c>
      <c r="B27" s="52" t="s">
        <v>18</v>
      </c>
      <c r="C27" s="52">
        <f t="shared" si="3"/>
        <v>150000</v>
      </c>
      <c r="D27" s="51" t="s">
        <v>38</v>
      </c>
      <c r="E27" s="53">
        <v>250000</v>
      </c>
      <c r="F27" s="52" t="s">
        <v>19</v>
      </c>
      <c r="G27" s="54" t="str">
        <f t="shared" si="0"/>
        <v> </v>
      </c>
      <c r="H27" s="55">
        <v>38800</v>
      </c>
      <c r="I27" s="51" t="s">
        <v>11</v>
      </c>
      <c r="J27" s="56">
        <v>0.32</v>
      </c>
      <c r="K27" s="56" t="s">
        <v>17</v>
      </c>
      <c r="L27" s="55">
        <f t="shared" si="1"/>
        <v>0</v>
      </c>
      <c r="M27" s="57" t="s">
        <v>14</v>
      </c>
      <c r="N27" s="58">
        <f t="shared" si="2"/>
        <v>0</v>
      </c>
    </row>
    <row r="28" spans="1:14" ht="11.25">
      <c r="A28" s="50" t="s">
        <v>37</v>
      </c>
      <c r="B28" s="52" t="s">
        <v>18</v>
      </c>
      <c r="C28" s="52">
        <f t="shared" si="3"/>
        <v>250000</v>
      </c>
      <c r="D28" s="51" t="s">
        <v>38</v>
      </c>
      <c r="E28" s="53">
        <v>500000</v>
      </c>
      <c r="F28" s="52" t="s">
        <v>19</v>
      </c>
      <c r="G28" s="54" t="str">
        <f t="shared" si="0"/>
        <v> </v>
      </c>
      <c r="H28" s="55">
        <v>70800</v>
      </c>
      <c r="I28" s="51" t="s">
        <v>11</v>
      </c>
      <c r="J28" s="56">
        <v>0.34</v>
      </c>
      <c r="K28" s="56" t="s">
        <v>17</v>
      </c>
      <c r="L28" s="55">
        <f t="shared" si="1"/>
        <v>0</v>
      </c>
      <c r="M28" s="57" t="s">
        <v>14</v>
      </c>
      <c r="N28" s="58">
        <f t="shared" si="2"/>
        <v>0</v>
      </c>
    </row>
    <row r="29" spans="1:14" ht="11.25">
      <c r="A29" s="50" t="s">
        <v>37</v>
      </c>
      <c r="B29" s="52" t="s">
        <v>18</v>
      </c>
      <c r="C29" s="52">
        <f t="shared" si="3"/>
        <v>500000</v>
      </c>
      <c r="D29" s="51" t="s">
        <v>38</v>
      </c>
      <c r="E29" s="53">
        <v>750000</v>
      </c>
      <c r="F29" s="52" t="s">
        <v>19</v>
      </c>
      <c r="G29" s="54" t="str">
        <f t="shared" si="0"/>
        <v> </v>
      </c>
      <c r="H29" s="55">
        <v>155800</v>
      </c>
      <c r="I29" s="51" t="s">
        <v>11</v>
      </c>
      <c r="J29" s="56">
        <v>0.35</v>
      </c>
      <c r="K29" s="56" t="s">
        <v>17</v>
      </c>
      <c r="L29" s="55">
        <f t="shared" si="1"/>
        <v>0</v>
      </c>
      <c r="M29" s="57" t="s">
        <v>14</v>
      </c>
      <c r="N29" s="58">
        <f t="shared" si="2"/>
        <v>0</v>
      </c>
    </row>
    <row r="30" spans="1:14" ht="11.25">
      <c r="A30" s="50" t="s">
        <v>37</v>
      </c>
      <c r="B30" s="52" t="s">
        <v>18</v>
      </c>
      <c r="C30" s="52">
        <f>E29</f>
        <v>750000</v>
      </c>
      <c r="D30" s="51" t="s">
        <v>38</v>
      </c>
      <c r="E30" s="53">
        <v>1000000</v>
      </c>
      <c r="F30" s="52" t="s">
        <v>19</v>
      </c>
      <c r="G30" s="54" t="str">
        <f t="shared" si="0"/>
        <v> </v>
      </c>
      <c r="H30" s="55">
        <v>248300</v>
      </c>
      <c r="I30" s="51" t="s">
        <v>11</v>
      </c>
      <c r="J30" s="56">
        <v>0.39</v>
      </c>
      <c r="K30" s="56" t="s">
        <v>17</v>
      </c>
      <c r="L30" s="55">
        <f>IF(G30="Y",$E$10-C30,0)</f>
        <v>0</v>
      </c>
      <c r="M30" s="57" t="s">
        <v>14</v>
      </c>
      <c r="N30" s="58">
        <f>IF(G30="Y",(H30+(J30*L30)),0)</f>
        <v>0</v>
      </c>
    </row>
    <row r="31" spans="1:14" ht="11.25">
      <c r="A31" s="50" t="s">
        <v>37</v>
      </c>
      <c r="B31" s="52" t="s">
        <v>18</v>
      </c>
      <c r="C31" s="52">
        <f>E30</f>
        <v>1000000</v>
      </c>
      <c r="D31" s="51"/>
      <c r="E31" s="53"/>
      <c r="F31" s="52" t="s">
        <v>19</v>
      </c>
      <c r="G31" s="54" t="str">
        <f>IF($E$10&gt;C31,"Y"," ")</f>
        <v>Y</v>
      </c>
      <c r="H31" s="55">
        <v>345800</v>
      </c>
      <c r="I31" s="51" t="s">
        <v>11</v>
      </c>
      <c r="J31" s="56">
        <v>0.4</v>
      </c>
      <c r="K31" s="56" t="s">
        <v>17</v>
      </c>
      <c r="L31" s="55">
        <f>IF(G31="Y",$E$10-C31,0)</f>
        <v>12677000</v>
      </c>
      <c r="M31" s="57" t="s">
        <v>14</v>
      </c>
      <c r="N31" s="58">
        <f>IF(G31="Y",(H31+(J31*L31)),0)</f>
        <v>5416600</v>
      </c>
    </row>
    <row r="32" spans="1:14" ht="11.25">
      <c r="A32" s="46"/>
      <c r="B32" s="47"/>
      <c r="C32" s="47"/>
      <c r="D32" s="47"/>
      <c r="E32" s="47"/>
      <c r="F32" s="47"/>
      <c r="G32" s="54"/>
      <c r="H32" s="51"/>
      <c r="I32" s="51"/>
      <c r="J32" s="51"/>
      <c r="K32" s="51"/>
      <c r="L32" s="51" t="s">
        <v>39</v>
      </c>
      <c r="M32" s="59" t="s">
        <v>40</v>
      </c>
      <c r="N32" s="58">
        <f>SUM(N20:N31)</f>
        <v>5416600</v>
      </c>
    </row>
  </sheetData>
  <sheetProtection/>
  <printOptions/>
  <pageMargins left="1.1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E14" sqref="E14"/>
    </sheetView>
  </sheetViews>
  <sheetFormatPr defaultColWidth="9.00390625" defaultRowHeight="12.75"/>
  <cols>
    <col min="1" max="1" width="9.00390625" style="29" customWidth="1"/>
    <col min="2" max="2" width="9.7109375" style="29" customWidth="1"/>
    <col min="3" max="3" width="11.7109375" style="29" bestFit="1" customWidth="1"/>
    <col min="4" max="4" width="13.00390625" style="29" customWidth="1"/>
    <col min="5" max="5" width="11.7109375" style="29" customWidth="1"/>
    <col min="6" max="6" width="2.57421875" style="29" customWidth="1"/>
    <col min="7" max="7" width="3.00390625" style="29" customWidth="1"/>
    <col min="8" max="8" width="10.140625" style="29" customWidth="1"/>
    <col min="9" max="9" width="4.421875" style="29" customWidth="1"/>
    <col min="10" max="10" width="7.28125" style="29" customWidth="1"/>
    <col min="11" max="11" width="3.140625" style="29" customWidth="1"/>
    <col min="12" max="12" width="10.140625" style="29" customWidth="1"/>
    <col min="13" max="13" width="3.28125" style="29" customWidth="1"/>
    <col min="14" max="14" width="8.57421875" style="29" customWidth="1"/>
    <col min="15" max="16384" width="9.00390625" style="29" customWidth="1"/>
  </cols>
  <sheetData>
    <row r="1" spans="1:10" ht="11.25">
      <c r="A1" s="28" t="s">
        <v>60</v>
      </c>
      <c r="E1" s="30"/>
      <c r="J1" s="29" t="s">
        <v>0</v>
      </c>
    </row>
    <row r="2" spans="4:5" ht="11.25">
      <c r="D2" s="29" t="s">
        <v>59</v>
      </c>
      <c r="E2" s="73">
        <v>2022</v>
      </c>
    </row>
    <row r="3" spans="1:8" ht="12.75">
      <c r="A3" s="29" t="s">
        <v>21</v>
      </c>
      <c r="E3" s="67">
        <v>15000000</v>
      </c>
      <c r="H3" s="1" t="s">
        <v>44</v>
      </c>
    </row>
    <row r="4" spans="1:7" ht="11.25">
      <c r="A4" s="29" t="s">
        <v>22</v>
      </c>
      <c r="E4" s="67">
        <v>0</v>
      </c>
      <c r="G4" s="29" t="s">
        <v>45</v>
      </c>
    </row>
    <row r="5" spans="1:5" ht="11.25">
      <c r="A5" s="29" t="s">
        <v>23</v>
      </c>
      <c r="E5" s="67">
        <v>0</v>
      </c>
    </row>
    <row r="6" spans="1:5" ht="11.25">
      <c r="A6" s="29" t="s">
        <v>42</v>
      </c>
      <c r="E6" s="62">
        <v>0</v>
      </c>
    </row>
    <row r="7" spans="1:5" ht="11.25">
      <c r="A7" s="29" t="s">
        <v>24</v>
      </c>
      <c r="E7" s="63">
        <v>0</v>
      </c>
    </row>
    <row r="8" spans="2:5" ht="11.25">
      <c r="B8" s="29" t="s">
        <v>25</v>
      </c>
      <c r="E8" s="31">
        <f>E3-E4-E5-E6+E7</f>
        <v>15000000</v>
      </c>
    </row>
    <row r="9" spans="1:7" ht="11.25">
      <c r="A9" s="29" t="s">
        <v>26</v>
      </c>
      <c r="D9" s="32">
        <v>2018</v>
      </c>
      <c r="E9" s="31">
        <f>IF(E2=2018,'State 2018'!$E$8,0)</f>
        <v>0</v>
      </c>
      <c r="G9" s="72"/>
    </row>
    <row r="10" spans="4:7" ht="11.25">
      <c r="D10" s="32">
        <v>2019</v>
      </c>
      <c r="E10" s="31">
        <f>IF(E2=2019,'State 2019'!$E$8,0)</f>
        <v>0</v>
      </c>
      <c r="G10" s="72"/>
    </row>
    <row r="11" spans="4:7" ht="11.25">
      <c r="D11" s="32">
        <v>2020</v>
      </c>
      <c r="E11" s="31">
        <f>IF(E2=2020,'State 2020'!$E$8,0)</f>
        <v>0</v>
      </c>
      <c r="G11" s="72"/>
    </row>
    <row r="12" spans="4:7" ht="11.25">
      <c r="D12" s="32">
        <v>2021</v>
      </c>
      <c r="E12" s="31">
        <f>IF(E2=2021,'State 2021'!$E$8,0)</f>
        <v>0</v>
      </c>
      <c r="G12" s="72"/>
    </row>
    <row r="13" spans="4:7" ht="11.25">
      <c r="D13" s="32">
        <v>2022</v>
      </c>
      <c r="E13" s="31">
        <f>'State 2022'!$E$8</f>
        <v>704000</v>
      </c>
      <c r="G13" s="72"/>
    </row>
    <row r="14" spans="1:7" ht="11.25">
      <c r="A14" s="29" t="s">
        <v>28</v>
      </c>
      <c r="E14" s="30">
        <f>E8-SUM(E9:E13)</f>
        <v>14296000</v>
      </c>
      <c r="G14" s="29" t="s">
        <v>67</v>
      </c>
    </row>
    <row r="15" spans="1:5" ht="11.25">
      <c r="A15" s="29" t="s">
        <v>29</v>
      </c>
      <c r="E15" s="30">
        <f>N36</f>
        <v>5664200</v>
      </c>
    </row>
    <row r="16" spans="2:5" ht="11.25">
      <c r="B16" s="29" t="s">
        <v>30</v>
      </c>
      <c r="D16" s="32" t="s">
        <v>27</v>
      </c>
      <c r="E16" s="33">
        <f>D21</f>
        <v>4472000</v>
      </c>
    </row>
    <row r="17" spans="1:5" ht="11.25">
      <c r="A17" s="29" t="s">
        <v>31</v>
      </c>
      <c r="E17" s="30">
        <f>IF(E15-E16&gt;0,E15-E16,0)</f>
        <v>1192200</v>
      </c>
    </row>
    <row r="18" spans="4:5" ht="11.25">
      <c r="D18" s="32"/>
      <c r="E18" s="33"/>
    </row>
    <row r="19" ht="11.25">
      <c r="E19" s="34"/>
    </row>
    <row r="20" ht="11.25">
      <c r="E20" s="30"/>
    </row>
    <row r="21" spans="1:14" ht="11.25">
      <c r="A21" s="29">
        <v>2018</v>
      </c>
      <c r="B21" s="29" t="s">
        <v>43</v>
      </c>
      <c r="D21" s="35">
        <f>40%*11180000</f>
        <v>4472000</v>
      </c>
      <c r="E21" s="36"/>
      <c r="G21" s="37"/>
      <c r="H21" s="38"/>
      <c r="I21" s="39"/>
      <c r="J21" s="39"/>
      <c r="K21" s="39"/>
      <c r="L21" s="39"/>
      <c r="M21" s="37"/>
      <c r="N21" s="40"/>
    </row>
    <row r="22" spans="2:14" ht="11.25">
      <c r="B22" s="29" t="s">
        <v>58</v>
      </c>
      <c r="D22" s="34"/>
      <c r="G22" s="41" t="s">
        <v>35</v>
      </c>
      <c r="H22" s="42" t="s">
        <v>7</v>
      </c>
      <c r="I22" s="43"/>
      <c r="J22" s="43"/>
      <c r="K22" s="43"/>
      <c r="L22" s="43"/>
      <c r="M22" s="44"/>
      <c r="N22" s="45" t="s">
        <v>36</v>
      </c>
    </row>
    <row r="23" spans="7:14" ht="11.25">
      <c r="G23" s="41"/>
      <c r="H23" s="46" t="s">
        <v>10</v>
      </c>
      <c r="I23" s="47" t="s">
        <v>11</v>
      </c>
      <c r="J23" s="47" t="s">
        <v>12</v>
      </c>
      <c r="K23" s="47"/>
      <c r="L23" s="47" t="s">
        <v>13</v>
      </c>
      <c r="M23" s="48" t="s">
        <v>14</v>
      </c>
      <c r="N23" s="49" t="s">
        <v>15</v>
      </c>
    </row>
    <row r="24" spans="1:14" ht="11.25">
      <c r="A24" s="50" t="s">
        <v>37</v>
      </c>
      <c r="B24" s="51" t="s">
        <v>18</v>
      </c>
      <c r="C24" s="52">
        <v>0</v>
      </c>
      <c r="D24" s="51" t="s">
        <v>38</v>
      </c>
      <c r="E24" s="53">
        <v>10000</v>
      </c>
      <c r="F24" s="52" t="s">
        <v>19</v>
      </c>
      <c r="G24" s="54" t="str">
        <f aca="true" t="shared" si="0" ref="G24:G34">IF($E$14&gt;C24,(IF($E$14&lt;(E24+0.01),"Y"," "))," ")</f>
        <v> </v>
      </c>
      <c r="H24" s="55">
        <v>0</v>
      </c>
      <c r="I24" s="51"/>
      <c r="J24" s="56">
        <v>0.18</v>
      </c>
      <c r="K24" s="56" t="s">
        <v>17</v>
      </c>
      <c r="L24" s="55">
        <f>IF(G24="Y",$E$14,0)</f>
        <v>0</v>
      </c>
      <c r="M24" s="57" t="s">
        <v>14</v>
      </c>
      <c r="N24" s="58">
        <f>J24*L24</f>
        <v>0</v>
      </c>
    </row>
    <row r="25" spans="1:14" ht="11.25">
      <c r="A25" s="50" t="s">
        <v>37</v>
      </c>
      <c r="B25" s="51" t="s">
        <v>18</v>
      </c>
      <c r="C25" s="52">
        <v>10000</v>
      </c>
      <c r="D25" s="51" t="s">
        <v>38</v>
      </c>
      <c r="E25" s="53">
        <v>20000</v>
      </c>
      <c r="F25" s="52" t="s">
        <v>19</v>
      </c>
      <c r="G25" s="54" t="str">
        <f t="shared" si="0"/>
        <v> </v>
      </c>
      <c r="H25" s="55">
        <v>1800</v>
      </c>
      <c r="I25" s="51" t="s">
        <v>11</v>
      </c>
      <c r="J25" s="56">
        <v>0.2</v>
      </c>
      <c r="K25" s="56" t="s">
        <v>17</v>
      </c>
      <c r="L25" s="55">
        <f aca="true" t="shared" si="1" ref="L25:L35">IF(G25="Y",$E$14-C25,0)</f>
        <v>0</v>
      </c>
      <c r="M25" s="57" t="s">
        <v>14</v>
      </c>
      <c r="N25" s="58">
        <f aca="true" t="shared" si="2" ref="N25:N35">IF(G25="Y",(H25+(J25*L25)),0)</f>
        <v>0</v>
      </c>
    </row>
    <row r="26" spans="1:14" ht="11.25">
      <c r="A26" s="50" t="s">
        <v>37</v>
      </c>
      <c r="B26" s="52" t="s">
        <v>18</v>
      </c>
      <c r="C26" s="52">
        <f aca="true" t="shared" si="3" ref="C26:C35">E25</f>
        <v>20000</v>
      </c>
      <c r="D26" s="51" t="s">
        <v>38</v>
      </c>
      <c r="E26" s="53">
        <v>40000</v>
      </c>
      <c r="F26" s="52" t="s">
        <v>19</v>
      </c>
      <c r="G26" s="54" t="str">
        <f t="shared" si="0"/>
        <v> </v>
      </c>
      <c r="H26" s="55">
        <v>3800</v>
      </c>
      <c r="I26" s="51" t="s">
        <v>11</v>
      </c>
      <c r="J26" s="56">
        <v>0.22</v>
      </c>
      <c r="K26" s="56" t="s">
        <v>17</v>
      </c>
      <c r="L26" s="55">
        <f t="shared" si="1"/>
        <v>0</v>
      </c>
      <c r="M26" s="57" t="s">
        <v>14</v>
      </c>
      <c r="N26" s="58">
        <f t="shared" si="2"/>
        <v>0</v>
      </c>
    </row>
    <row r="27" spans="1:14" ht="11.25">
      <c r="A27" s="50" t="s">
        <v>37</v>
      </c>
      <c r="B27" s="52" t="s">
        <v>18</v>
      </c>
      <c r="C27" s="52">
        <f t="shared" si="3"/>
        <v>40000</v>
      </c>
      <c r="D27" s="51" t="s">
        <v>38</v>
      </c>
      <c r="E27" s="53">
        <v>60000</v>
      </c>
      <c r="F27" s="52" t="s">
        <v>19</v>
      </c>
      <c r="G27" s="54" t="str">
        <f t="shared" si="0"/>
        <v> </v>
      </c>
      <c r="H27" s="55">
        <v>8200</v>
      </c>
      <c r="I27" s="51" t="s">
        <v>11</v>
      </c>
      <c r="J27" s="56">
        <v>0.24</v>
      </c>
      <c r="K27" s="56" t="s">
        <v>17</v>
      </c>
      <c r="L27" s="55">
        <f t="shared" si="1"/>
        <v>0</v>
      </c>
      <c r="M27" s="57" t="s">
        <v>14</v>
      </c>
      <c r="N27" s="58">
        <f t="shared" si="2"/>
        <v>0</v>
      </c>
    </row>
    <row r="28" spans="1:14" ht="11.25">
      <c r="A28" s="50" t="s">
        <v>37</v>
      </c>
      <c r="B28" s="52" t="s">
        <v>18</v>
      </c>
      <c r="C28" s="52">
        <f t="shared" si="3"/>
        <v>60000</v>
      </c>
      <c r="D28" s="51" t="s">
        <v>38</v>
      </c>
      <c r="E28" s="53">
        <v>80000</v>
      </c>
      <c r="F28" s="52" t="s">
        <v>19</v>
      </c>
      <c r="G28" s="54" t="str">
        <f t="shared" si="0"/>
        <v> </v>
      </c>
      <c r="H28" s="55">
        <v>13000</v>
      </c>
      <c r="I28" s="51" t="s">
        <v>11</v>
      </c>
      <c r="J28" s="56">
        <v>0.26</v>
      </c>
      <c r="K28" s="56" t="s">
        <v>17</v>
      </c>
      <c r="L28" s="55">
        <f t="shared" si="1"/>
        <v>0</v>
      </c>
      <c r="M28" s="57" t="s">
        <v>14</v>
      </c>
      <c r="N28" s="58">
        <f t="shared" si="2"/>
        <v>0</v>
      </c>
    </row>
    <row r="29" spans="1:14" ht="11.25">
      <c r="A29" s="50" t="s">
        <v>37</v>
      </c>
      <c r="B29" s="52" t="s">
        <v>18</v>
      </c>
      <c r="C29" s="52">
        <f t="shared" si="3"/>
        <v>80000</v>
      </c>
      <c r="D29" s="51" t="s">
        <v>38</v>
      </c>
      <c r="E29" s="53">
        <v>100000</v>
      </c>
      <c r="F29" s="52" t="s">
        <v>19</v>
      </c>
      <c r="G29" s="54" t="str">
        <f t="shared" si="0"/>
        <v> </v>
      </c>
      <c r="H29" s="55">
        <v>18200</v>
      </c>
      <c r="I29" s="51" t="s">
        <v>11</v>
      </c>
      <c r="J29" s="56">
        <v>0.28</v>
      </c>
      <c r="K29" s="56" t="s">
        <v>17</v>
      </c>
      <c r="L29" s="55">
        <f t="shared" si="1"/>
        <v>0</v>
      </c>
      <c r="M29" s="57" t="s">
        <v>14</v>
      </c>
      <c r="N29" s="58">
        <f t="shared" si="2"/>
        <v>0</v>
      </c>
    </row>
    <row r="30" spans="1:14" ht="11.25">
      <c r="A30" s="50" t="s">
        <v>37</v>
      </c>
      <c r="B30" s="52" t="s">
        <v>18</v>
      </c>
      <c r="C30" s="52">
        <f t="shared" si="3"/>
        <v>100000</v>
      </c>
      <c r="D30" s="51" t="s">
        <v>38</v>
      </c>
      <c r="E30" s="53">
        <v>150000</v>
      </c>
      <c r="F30" s="52" t="s">
        <v>19</v>
      </c>
      <c r="G30" s="54" t="str">
        <f t="shared" si="0"/>
        <v> </v>
      </c>
      <c r="H30" s="55">
        <v>23800</v>
      </c>
      <c r="I30" s="51" t="s">
        <v>11</v>
      </c>
      <c r="J30" s="56">
        <v>0.3</v>
      </c>
      <c r="K30" s="56" t="s">
        <v>17</v>
      </c>
      <c r="L30" s="55">
        <f t="shared" si="1"/>
        <v>0</v>
      </c>
      <c r="M30" s="57" t="s">
        <v>14</v>
      </c>
      <c r="N30" s="58">
        <f t="shared" si="2"/>
        <v>0</v>
      </c>
    </row>
    <row r="31" spans="1:14" ht="11.25">
      <c r="A31" s="50" t="s">
        <v>37</v>
      </c>
      <c r="B31" s="52" t="s">
        <v>18</v>
      </c>
      <c r="C31" s="52">
        <f t="shared" si="3"/>
        <v>150000</v>
      </c>
      <c r="D31" s="51" t="s">
        <v>38</v>
      </c>
      <c r="E31" s="53">
        <v>250000</v>
      </c>
      <c r="F31" s="52" t="s">
        <v>19</v>
      </c>
      <c r="G31" s="54" t="str">
        <f t="shared" si="0"/>
        <v> </v>
      </c>
      <c r="H31" s="55">
        <v>38800</v>
      </c>
      <c r="I31" s="51" t="s">
        <v>11</v>
      </c>
      <c r="J31" s="56">
        <v>0.32</v>
      </c>
      <c r="K31" s="56" t="s">
        <v>17</v>
      </c>
      <c r="L31" s="55">
        <f t="shared" si="1"/>
        <v>0</v>
      </c>
      <c r="M31" s="57" t="s">
        <v>14</v>
      </c>
      <c r="N31" s="58">
        <f t="shared" si="2"/>
        <v>0</v>
      </c>
    </row>
    <row r="32" spans="1:14" ht="11.25">
      <c r="A32" s="50" t="s">
        <v>37</v>
      </c>
      <c r="B32" s="52" t="s">
        <v>18</v>
      </c>
      <c r="C32" s="52">
        <f t="shared" si="3"/>
        <v>250000</v>
      </c>
      <c r="D32" s="51" t="s">
        <v>38</v>
      </c>
      <c r="E32" s="53">
        <v>500000</v>
      </c>
      <c r="F32" s="52" t="s">
        <v>19</v>
      </c>
      <c r="G32" s="54" t="str">
        <f t="shared" si="0"/>
        <v> </v>
      </c>
      <c r="H32" s="55">
        <v>70800</v>
      </c>
      <c r="I32" s="51" t="s">
        <v>11</v>
      </c>
      <c r="J32" s="56">
        <v>0.34</v>
      </c>
      <c r="K32" s="56" t="s">
        <v>17</v>
      </c>
      <c r="L32" s="55">
        <f t="shared" si="1"/>
        <v>0</v>
      </c>
      <c r="M32" s="57" t="s">
        <v>14</v>
      </c>
      <c r="N32" s="58">
        <f t="shared" si="2"/>
        <v>0</v>
      </c>
    </row>
    <row r="33" spans="1:14" ht="11.25">
      <c r="A33" s="50" t="s">
        <v>37</v>
      </c>
      <c r="B33" s="52" t="s">
        <v>18</v>
      </c>
      <c r="C33" s="52">
        <f t="shared" si="3"/>
        <v>500000</v>
      </c>
      <c r="D33" s="51" t="s">
        <v>38</v>
      </c>
      <c r="E33" s="53">
        <v>750000</v>
      </c>
      <c r="F33" s="52" t="s">
        <v>19</v>
      </c>
      <c r="G33" s="54" t="str">
        <f t="shared" si="0"/>
        <v> </v>
      </c>
      <c r="H33" s="55">
        <v>155800</v>
      </c>
      <c r="I33" s="51" t="s">
        <v>11</v>
      </c>
      <c r="J33" s="56">
        <v>0.35</v>
      </c>
      <c r="K33" s="56" t="s">
        <v>17</v>
      </c>
      <c r="L33" s="55">
        <f t="shared" si="1"/>
        <v>0</v>
      </c>
      <c r="M33" s="57" t="s">
        <v>14</v>
      </c>
      <c r="N33" s="58">
        <f t="shared" si="2"/>
        <v>0</v>
      </c>
    </row>
    <row r="34" spans="1:14" ht="11.25">
      <c r="A34" s="50" t="s">
        <v>37</v>
      </c>
      <c r="B34" s="52" t="s">
        <v>18</v>
      </c>
      <c r="C34" s="52">
        <f t="shared" si="3"/>
        <v>750000</v>
      </c>
      <c r="D34" s="51" t="s">
        <v>38</v>
      </c>
      <c r="E34" s="53">
        <v>1000000</v>
      </c>
      <c r="F34" s="52" t="s">
        <v>19</v>
      </c>
      <c r="G34" s="54" t="str">
        <f t="shared" si="0"/>
        <v> </v>
      </c>
      <c r="H34" s="55">
        <v>248300</v>
      </c>
      <c r="I34" s="51" t="s">
        <v>11</v>
      </c>
      <c r="J34" s="56">
        <v>0.39</v>
      </c>
      <c r="K34" s="56" t="s">
        <v>17</v>
      </c>
      <c r="L34" s="55">
        <f t="shared" si="1"/>
        <v>0</v>
      </c>
      <c r="M34" s="57" t="s">
        <v>14</v>
      </c>
      <c r="N34" s="58">
        <f t="shared" si="2"/>
        <v>0</v>
      </c>
    </row>
    <row r="35" spans="1:14" ht="11.25">
      <c r="A35" s="50" t="s">
        <v>37</v>
      </c>
      <c r="B35" s="52" t="s">
        <v>18</v>
      </c>
      <c r="C35" s="52">
        <f t="shared" si="3"/>
        <v>1000000</v>
      </c>
      <c r="D35" s="51"/>
      <c r="E35" s="53"/>
      <c r="F35" s="52" t="s">
        <v>19</v>
      </c>
      <c r="G35" s="54" t="str">
        <f>IF($E$14&gt;C35,"Y"," ")</f>
        <v>Y</v>
      </c>
      <c r="H35" s="55">
        <v>345800</v>
      </c>
      <c r="I35" s="51" t="s">
        <v>11</v>
      </c>
      <c r="J35" s="56">
        <v>0.4</v>
      </c>
      <c r="K35" s="56" t="s">
        <v>17</v>
      </c>
      <c r="L35" s="55">
        <f t="shared" si="1"/>
        <v>13296000</v>
      </c>
      <c r="M35" s="57" t="s">
        <v>14</v>
      </c>
      <c r="N35" s="58">
        <f t="shared" si="2"/>
        <v>5664200</v>
      </c>
    </row>
    <row r="36" spans="1:14" ht="11.25">
      <c r="A36" s="46"/>
      <c r="B36" s="47"/>
      <c r="C36" s="47"/>
      <c r="D36" s="47"/>
      <c r="E36" s="47"/>
      <c r="F36" s="47"/>
      <c r="G36" s="54"/>
      <c r="H36" s="51"/>
      <c r="I36" s="51"/>
      <c r="J36" s="51"/>
      <c r="K36" s="51"/>
      <c r="L36" s="51" t="s">
        <v>39</v>
      </c>
      <c r="M36" s="59" t="s">
        <v>40</v>
      </c>
      <c r="N36" s="58">
        <f>SUM(N24:N35)</f>
        <v>5664200</v>
      </c>
    </row>
  </sheetData>
  <sheetProtection/>
  <printOptions/>
  <pageMargins left="1.1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Davis</dc:creator>
  <cp:keywords/>
  <dc:description/>
  <cp:lastModifiedBy>Lisa Davis</cp:lastModifiedBy>
  <cp:lastPrinted>2012-01-17T19:29:48Z</cp:lastPrinted>
  <dcterms:created xsi:type="dcterms:W3CDTF">2007-02-20T04:11:29Z</dcterms:created>
  <dcterms:modified xsi:type="dcterms:W3CDTF">2018-11-24T03:10:29Z</dcterms:modified>
  <cp:category/>
  <cp:version/>
  <cp:contentType/>
  <cp:contentStatus/>
</cp:coreProperties>
</file>